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ibitict-my.sharepoint.com/personal/michel_tibit_be/Documents/TIBIT/Klanten/VSOA Politie/UZB/2022/"/>
    </mc:Choice>
  </mc:AlternateContent>
  <xr:revisionPtr revIDLastSave="919" documentId="8_{9AE8F29D-56F5-4638-9472-FEDEDEBDFA82}" xr6:coauthVersionLast="47" xr6:coauthVersionMax="47" xr10:uidLastSave="{BDA6201E-DCCE-4ED7-872E-C2712C5B45C2}"/>
  <workbookProtection workbookAlgorithmName="SHA-512" workbookHashValue="Wvljut3f6Tfzh0buQoy+ro6FJpz9g3LjRSb1ws1I1MJEEqcLFdgGSylcjrMD5SNr+TPPycYJ5yxDWcksx2tBLQ==" workbookSaltValue="oEGEmRFFjonhYHWrgxE62g==" workbookSpinCount="100000" lockStructure="1"/>
  <bookViews>
    <workbookView xWindow="38280" yWindow="-120" windowWidth="38640" windowHeight="21240" activeTab="1" xr2:uid="{00000000-000D-0000-FFFF-FFFF00000000}"/>
  </bookViews>
  <sheets>
    <sheet name="Échelle" sheetId="1" r:id="rId1"/>
    <sheet name="Données" sheetId="2" r:id="rId2"/>
    <sheet name="Jan" sheetId="3" r:id="rId3"/>
    <sheet name="Fév" sheetId="4" r:id="rId4"/>
    <sheet name="Mar" sheetId="5" r:id="rId5"/>
    <sheet name="Avr" sheetId="6" r:id="rId6"/>
    <sheet name="Mai" sheetId="7" r:id="rId7"/>
    <sheet name="Juin" sheetId="8" r:id="rId8"/>
    <sheet name="Juil" sheetId="9" r:id="rId9"/>
    <sheet name="Août" sheetId="10" r:id="rId10"/>
    <sheet name="Sep" sheetId="11" r:id="rId11"/>
    <sheet name="Oct" sheetId="12" r:id="rId12"/>
    <sheet name="Nov" sheetId="13" r:id="rId13"/>
    <sheet name="Déc" sheetId="14" r:id="rId14"/>
    <sheet name="Ex-Gd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37" i="14" l="1"/>
  <c r="AX32" i="14"/>
  <c r="AX30" i="14"/>
  <c r="AX25" i="14"/>
  <c r="AX23" i="14"/>
  <c r="AX18" i="14"/>
  <c r="AX16" i="14"/>
  <c r="AX11" i="14"/>
  <c r="AX9" i="14"/>
  <c r="V37" i="14"/>
  <c r="V32" i="14"/>
  <c r="V30" i="14"/>
  <c r="V25" i="14"/>
  <c r="V23" i="14"/>
  <c r="V18" i="14"/>
  <c r="V16" i="14"/>
  <c r="V11" i="14"/>
  <c r="V9" i="14"/>
  <c r="L37" i="14"/>
  <c r="L30" i="14"/>
  <c r="L23" i="14"/>
  <c r="L16" i="14"/>
  <c r="L9" i="14"/>
  <c r="AX34" i="13"/>
  <c r="AX32" i="13"/>
  <c r="AX27" i="13"/>
  <c r="AX25" i="13"/>
  <c r="AX20" i="13"/>
  <c r="AX13" i="13"/>
  <c r="AX11" i="13"/>
  <c r="V34" i="13"/>
  <c r="V32" i="13"/>
  <c r="V27" i="13"/>
  <c r="V25" i="13"/>
  <c r="V20" i="13"/>
  <c r="V18" i="13"/>
  <c r="V13" i="13"/>
  <c r="V11" i="13"/>
  <c r="L32" i="13"/>
  <c r="L25" i="13"/>
  <c r="L18" i="13"/>
  <c r="L11" i="13"/>
  <c r="AX37" i="12"/>
  <c r="AX35" i="12"/>
  <c r="AX30" i="12"/>
  <c r="AX28" i="12"/>
  <c r="AX23" i="12"/>
  <c r="AX21" i="12"/>
  <c r="AX16" i="12"/>
  <c r="AX14" i="12"/>
  <c r="AX9" i="12"/>
  <c r="AX7" i="12"/>
  <c r="AX8" i="12"/>
  <c r="V37" i="12"/>
  <c r="V35" i="12"/>
  <c r="V30" i="12"/>
  <c r="V28" i="12"/>
  <c r="V23" i="12"/>
  <c r="V21" i="12"/>
  <c r="V16" i="12"/>
  <c r="V14" i="12"/>
  <c r="V9" i="12"/>
  <c r="V7" i="12"/>
  <c r="L35" i="12"/>
  <c r="L28" i="12"/>
  <c r="L21" i="12"/>
  <c r="L14" i="12"/>
  <c r="L7" i="12"/>
  <c r="AX32" i="11"/>
  <c r="AX30" i="11"/>
  <c r="AX25" i="11"/>
  <c r="AX23" i="11"/>
  <c r="AX18" i="11"/>
  <c r="AX16" i="11"/>
  <c r="AX11" i="11"/>
  <c r="AX9" i="11"/>
  <c r="V32" i="11"/>
  <c r="V30" i="11"/>
  <c r="V25" i="11"/>
  <c r="V23" i="11"/>
  <c r="V18" i="11"/>
  <c r="V16" i="11"/>
  <c r="V11" i="11"/>
  <c r="V9" i="11"/>
  <c r="L30" i="11"/>
  <c r="L23" i="11"/>
  <c r="L16" i="11"/>
  <c r="L9" i="11"/>
  <c r="AX35" i="10"/>
  <c r="AX33" i="10"/>
  <c r="AX28" i="10"/>
  <c r="AX26" i="10"/>
  <c r="AX21" i="10"/>
  <c r="AX19" i="10"/>
  <c r="AX14" i="10"/>
  <c r="AX12" i="10"/>
  <c r="AX7" i="10"/>
  <c r="V35" i="10"/>
  <c r="V33" i="10"/>
  <c r="V28" i="10"/>
  <c r="V26" i="10"/>
  <c r="V21" i="10"/>
  <c r="V19" i="10"/>
  <c r="V14" i="10"/>
  <c r="V12" i="10"/>
  <c r="V7" i="10"/>
  <c r="L33" i="10"/>
  <c r="L26" i="10"/>
  <c r="L19" i="10"/>
  <c r="L12" i="10"/>
  <c r="AX36" i="9"/>
  <c r="AX31" i="9"/>
  <c r="AX24" i="9"/>
  <c r="AX22" i="9"/>
  <c r="AX17" i="9"/>
  <c r="AX15" i="9"/>
  <c r="AX10" i="9"/>
  <c r="AX8" i="9"/>
  <c r="V36" i="9"/>
  <c r="V31" i="9"/>
  <c r="V29" i="9"/>
  <c r="V24" i="9"/>
  <c r="V22" i="9"/>
  <c r="V17" i="9"/>
  <c r="V15" i="9"/>
  <c r="V10" i="9"/>
  <c r="V8" i="9"/>
  <c r="L36" i="9"/>
  <c r="L29" i="9"/>
  <c r="L22" i="9"/>
  <c r="L15" i="9"/>
  <c r="L8" i="9"/>
  <c r="AX33" i="8"/>
  <c r="AX31" i="8"/>
  <c r="AX26" i="8"/>
  <c r="AX24" i="8"/>
  <c r="AX19" i="8"/>
  <c r="AX17" i="8"/>
  <c r="AX12" i="8"/>
  <c r="AX10" i="8"/>
  <c r="V33" i="8"/>
  <c r="V31" i="8"/>
  <c r="V26" i="8"/>
  <c r="V24" i="8"/>
  <c r="V19" i="8"/>
  <c r="V17" i="8"/>
  <c r="V12" i="8"/>
  <c r="V10" i="8"/>
  <c r="L31" i="8"/>
  <c r="L24" i="8"/>
  <c r="L17" i="8"/>
  <c r="L10" i="8"/>
  <c r="AZ23" i="14"/>
  <c r="AZ23" i="13"/>
  <c r="AZ24" i="13"/>
  <c r="AX29" i="7"/>
  <c r="AX27" i="7"/>
  <c r="AX22" i="7"/>
  <c r="AX20" i="7"/>
  <c r="AX15" i="7"/>
  <c r="AX13" i="7"/>
  <c r="AX8" i="7"/>
  <c r="V36" i="7"/>
  <c r="V34" i="7"/>
  <c r="V29" i="7"/>
  <c r="V27" i="7"/>
  <c r="V22" i="7"/>
  <c r="V20" i="7"/>
  <c r="V15" i="7"/>
  <c r="V13" i="7"/>
  <c r="V8" i="7"/>
  <c r="L34" i="7"/>
  <c r="L27" i="7"/>
  <c r="L20" i="7"/>
  <c r="L13" i="7"/>
  <c r="AX24" i="6"/>
  <c r="AX22" i="6"/>
  <c r="AX17" i="6"/>
  <c r="AX15" i="6"/>
  <c r="AX10" i="6"/>
  <c r="AX8" i="6"/>
  <c r="V36" i="6"/>
  <c r="V31" i="6"/>
  <c r="V29" i="6"/>
  <c r="V24" i="6"/>
  <c r="V22" i="6"/>
  <c r="V17" i="6"/>
  <c r="V15" i="6"/>
  <c r="V10" i="6"/>
  <c r="V8" i="6"/>
  <c r="L36" i="6"/>
  <c r="L29" i="6"/>
  <c r="L22" i="6"/>
  <c r="L15" i="6"/>
  <c r="L8" i="6"/>
  <c r="AX34" i="5"/>
  <c r="AX32" i="5"/>
  <c r="AX27" i="5"/>
  <c r="AX25" i="5"/>
  <c r="AX20" i="5"/>
  <c r="AX18" i="5"/>
  <c r="AX13" i="5"/>
  <c r="AX11" i="5"/>
  <c r="V34" i="5"/>
  <c r="V32" i="5"/>
  <c r="V27" i="5"/>
  <c r="V25" i="5"/>
  <c r="V20" i="5"/>
  <c r="V18" i="5"/>
  <c r="V13" i="5"/>
  <c r="V11" i="5"/>
  <c r="L32" i="5"/>
  <c r="L25" i="5"/>
  <c r="L18" i="5"/>
  <c r="L11" i="5"/>
  <c r="AX34" i="4"/>
  <c r="AX32" i="4"/>
  <c r="AX27" i="4"/>
  <c r="AX25" i="4"/>
  <c r="AX20" i="4"/>
  <c r="AX18" i="4"/>
  <c r="AX13" i="4"/>
  <c r="AX11" i="4"/>
  <c r="V34" i="4"/>
  <c r="V32" i="4"/>
  <c r="V27" i="4"/>
  <c r="V25" i="4"/>
  <c r="V20" i="4"/>
  <c r="V18" i="4"/>
  <c r="V13" i="4"/>
  <c r="V11" i="4"/>
  <c r="L32" i="4"/>
  <c r="L25" i="4"/>
  <c r="L18" i="4"/>
  <c r="L11" i="4"/>
  <c r="AX37" i="3"/>
  <c r="AX35" i="3"/>
  <c r="AX30" i="3"/>
  <c r="AX28" i="3"/>
  <c r="AX23" i="3"/>
  <c r="AX21" i="3"/>
  <c r="AX16" i="3"/>
  <c r="AX14" i="3"/>
  <c r="AX9" i="3"/>
  <c r="AX7" i="3"/>
  <c r="V37" i="3"/>
  <c r="V35" i="3"/>
  <c r="V30" i="3"/>
  <c r="V28" i="3"/>
  <c r="V23" i="3"/>
  <c r="V21" i="3"/>
  <c r="V16" i="3"/>
  <c r="V14" i="3"/>
  <c r="V9" i="3"/>
  <c r="V7" i="3"/>
  <c r="L35" i="3"/>
  <c r="L28" i="3"/>
  <c r="L21" i="3"/>
  <c r="L14" i="3"/>
  <c r="L7" i="3"/>
  <c r="AZ21" i="8" l="1"/>
  <c r="AZ21" i="7"/>
  <c r="AZ21" i="6"/>
  <c r="AZ21" i="5"/>
  <c r="AZ21" i="4"/>
  <c r="AZ21" i="3"/>
  <c r="AX10" i="14" l="1"/>
  <c r="V33" i="14"/>
  <c r="V34" i="14"/>
  <c r="V35" i="14"/>
  <c r="V26" i="14"/>
  <c r="V27" i="14"/>
  <c r="V28" i="14"/>
  <c r="V19" i="14"/>
  <c r="V20" i="14"/>
  <c r="V21" i="14"/>
  <c r="V12" i="14"/>
  <c r="V13" i="14"/>
  <c r="V14" i="14"/>
  <c r="V7" i="14"/>
  <c r="L31" i="14"/>
  <c r="V31" i="14" s="1"/>
  <c r="L24" i="14"/>
  <c r="V24" i="14" s="1"/>
  <c r="L17" i="14"/>
  <c r="V17" i="14" s="1"/>
  <c r="L10" i="14"/>
  <c r="V10" i="14" s="1"/>
  <c r="AX7" i="13"/>
  <c r="V35" i="13"/>
  <c r="V28" i="13"/>
  <c r="V21" i="13"/>
  <c r="V14" i="13"/>
  <c r="L33" i="13"/>
  <c r="V33" i="13" s="1"/>
  <c r="L26" i="13"/>
  <c r="V26" i="13" s="1"/>
  <c r="L19" i="13"/>
  <c r="V19" i="13" s="1"/>
  <c r="L12" i="13"/>
  <c r="V12" i="13" s="1"/>
  <c r="V31" i="12"/>
  <c r="V32" i="12"/>
  <c r="V33" i="12"/>
  <c r="V24" i="12"/>
  <c r="V25" i="12"/>
  <c r="V26" i="12"/>
  <c r="V17" i="12"/>
  <c r="V18" i="12"/>
  <c r="V19" i="12"/>
  <c r="V10" i="12"/>
  <c r="V11" i="12"/>
  <c r="V12" i="12"/>
  <c r="L36" i="12"/>
  <c r="V36" i="12" s="1"/>
  <c r="L29" i="12"/>
  <c r="V29" i="12" s="1"/>
  <c r="L22" i="12"/>
  <c r="V22" i="12" s="1"/>
  <c r="L15" i="12"/>
  <c r="V15" i="12" s="1"/>
  <c r="L8" i="12"/>
  <c r="V8" i="12" s="1"/>
  <c r="AX10" i="11"/>
  <c r="V33" i="11"/>
  <c r="V26" i="11"/>
  <c r="V19" i="11"/>
  <c r="V12" i="11"/>
  <c r="L31" i="11"/>
  <c r="V31" i="11" s="1"/>
  <c r="L24" i="11"/>
  <c r="V24" i="11" s="1"/>
  <c r="L17" i="11"/>
  <c r="V17" i="11" s="1"/>
  <c r="L10" i="11"/>
  <c r="V10" i="11" s="1"/>
  <c r="AX8" i="10"/>
  <c r="V36" i="10"/>
  <c r="V29" i="10"/>
  <c r="V22" i="10"/>
  <c r="V15" i="10"/>
  <c r="V8" i="10"/>
  <c r="L34" i="10"/>
  <c r="V34" i="10" s="1"/>
  <c r="L27" i="10"/>
  <c r="V27" i="10" s="1"/>
  <c r="L20" i="10"/>
  <c r="V20" i="10" s="1"/>
  <c r="L13" i="10"/>
  <c r="V13" i="10" s="1"/>
  <c r="AX9" i="9"/>
  <c r="V32" i="9"/>
  <c r="V25" i="9"/>
  <c r="V18" i="9"/>
  <c r="V11" i="9"/>
  <c r="L37" i="9"/>
  <c r="V37" i="9" s="1"/>
  <c r="L30" i="9"/>
  <c r="V30" i="9" s="1"/>
  <c r="L23" i="9"/>
  <c r="V23" i="9" s="1"/>
  <c r="L16" i="9"/>
  <c r="V16" i="9" s="1"/>
  <c r="L9" i="9"/>
  <c r="V9" i="9" s="1"/>
  <c r="AX11" i="8"/>
  <c r="V34" i="8"/>
  <c r="V27" i="8"/>
  <c r="V20" i="8"/>
  <c r="V13" i="8"/>
  <c r="L32" i="8"/>
  <c r="V32" i="8" s="1"/>
  <c r="L25" i="8"/>
  <c r="V25" i="8" s="1"/>
  <c r="L18" i="8"/>
  <c r="V18" i="8" s="1"/>
  <c r="L11" i="8"/>
  <c r="V11" i="8" s="1"/>
  <c r="AX9" i="7"/>
  <c r="AX7" i="7"/>
  <c r="V37" i="7"/>
  <c r="V30" i="7"/>
  <c r="V23" i="7"/>
  <c r="V16" i="7"/>
  <c r="V9" i="7"/>
  <c r="L35" i="7"/>
  <c r="V35" i="7" s="1"/>
  <c r="L28" i="7"/>
  <c r="V28" i="7" s="1"/>
  <c r="L21" i="7"/>
  <c r="V21" i="7" s="1"/>
  <c r="L14" i="7"/>
  <c r="V14" i="7" s="1"/>
  <c r="L7" i="7"/>
  <c r="V7" i="7" s="1"/>
  <c r="AX9" i="6"/>
  <c r="V32" i="6"/>
  <c r="V25" i="6"/>
  <c r="V18" i="6"/>
  <c r="L30" i="6"/>
  <c r="V30" i="6" s="1"/>
  <c r="L23" i="6"/>
  <c r="V23" i="6" s="1"/>
  <c r="L16" i="6"/>
  <c r="V16" i="6" s="1"/>
  <c r="L9" i="6"/>
  <c r="V9" i="6" s="1"/>
  <c r="AX12" i="5"/>
  <c r="AX7" i="5"/>
  <c r="AX8" i="5" s="1"/>
  <c r="V35" i="5" l="1"/>
  <c r="V28" i="5"/>
  <c r="V21" i="5"/>
  <c r="V14" i="5"/>
  <c r="V7" i="5"/>
  <c r="L33" i="5"/>
  <c r="V33" i="5" s="1"/>
  <c r="L26" i="5"/>
  <c r="V26" i="5" s="1"/>
  <c r="L19" i="5"/>
  <c r="V19" i="5" s="1"/>
  <c r="L12" i="5"/>
  <c r="V12" i="5" s="1"/>
  <c r="AX12" i="4"/>
  <c r="AX14" i="4" s="1"/>
  <c r="AX15" i="4" s="1"/>
  <c r="AX7" i="4"/>
  <c r="AX8" i="4" s="1"/>
  <c r="V28" i="4"/>
  <c r="V29" i="4"/>
  <c r="V21" i="4"/>
  <c r="V22" i="4"/>
  <c r="V14" i="4"/>
  <c r="V15" i="4"/>
  <c r="V7" i="4"/>
  <c r="V8" i="4"/>
  <c r="L33" i="4"/>
  <c r="V33" i="4" s="1"/>
  <c r="L26" i="4"/>
  <c r="V26" i="4" s="1"/>
  <c r="L19" i="4"/>
  <c r="V19" i="4" s="1"/>
  <c r="L12" i="4"/>
  <c r="V12" i="4" s="1"/>
  <c r="V31" i="3" l="1"/>
  <c r="V32" i="3"/>
  <c r="V24" i="3"/>
  <c r="V25" i="3"/>
  <c r="V17" i="3"/>
  <c r="V18" i="3"/>
  <c r="V10" i="3"/>
  <c r="V11" i="3"/>
  <c r="L36" i="3"/>
  <c r="V36" i="3" s="1"/>
  <c r="L29" i="3"/>
  <c r="V29" i="3" s="1"/>
  <c r="L22" i="3"/>
  <c r="V22" i="3" s="1"/>
  <c r="L15" i="3"/>
  <c r="V15" i="3" s="1"/>
  <c r="L8" i="3"/>
  <c r="V8" i="3" s="1"/>
  <c r="AX7" i="14" l="1"/>
  <c r="AX8" i="13"/>
  <c r="AX9" i="13" s="1"/>
  <c r="V36" i="13"/>
  <c r="V29" i="13"/>
  <c r="V30" i="13"/>
  <c r="V22" i="13"/>
  <c r="V23" i="13"/>
  <c r="V15" i="13"/>
  <c r="V16" i="13"/>
  <c r="V8" i="13"/>
  <c r="V9" i="13"/>
  <c r="AX7" i="11"/>
  <c r="V34" i="11"/>
  <c r="V35" i="11"/>
  <c r="V27" i="11"/>
  <c r="V28" i="11"/>
  <c r="V20" i="11"/>
  <c r="V21" i="11"/>
  <c r="V13" i="11"/>
  <c r="V14" i="11"/>
  <c r="V7" i="11"/>
  <c r="V8" i="11"/>
  <c r="AX9" i="10"/>
  <c r="AX10" i="10" s="1"/>
  <c r="V9" i="10"/>
  <c r="V10" i="10"/>
  <c r="V11" i="10"/>
  <c r="V16" i="10"/>
  <c r="V17" i="10"/>
  <c r="V18" i="10"/>
  <c r="V23" i="10"/>
  <c r="V24" i="10"/>
  <c r="V30" i="10"/>
  <c r="V31" i="10"/>
  <c r="V37" i="10"/>
  <c r="V33" i="9"/>
  <c r="V34" i="9"/>
  <c r="V26" i="9"/>
  <c r="V27" i="9"/>
  <c r="V19" i="9"/>
  <c r="V20" i="9"/>
  <c r="V12" i="9"/>
  <c r="V13" i="9"/>
  <c r="AX7" i="8"/>
  <c r="AX8" i="8" s="1"/>
  <c r="V36" i="8"/>
  <c r="V35" i="8"/>
  <c r="V28" i="8"/>
  <c r="V29" i="8"/>
  <c r="V21" i="8"/>
  <c r="V22" i="8"/>
  <c r="V14" i="8"/>
  <c r="V15" i="8"/>
  <c r="V8" i="8"/>
  <c r="V24" i="7"/>
  <c r="V25" i="7"/>
  <c r="V17" i="7"/>
  <c r="V18" i="7"/>
  <c r="V10" i="7"/>
  <c r="V11" i="7"/>
  <c r="V31" i="7"/>
  <c r="V32" i="7"/>
  <c r="AZ14" i="14"/>
  <c r="AZ13" i="14"/>
  <c r="AZ14" i="13"/>
  <c r="AZ13" i="13"/>
  <c r="AZ14" i="12"/>
  <c r="AZ13" i="12"/>
  <c r="AZ14" i="11"/>
  <c r="AZ13" i="11"/>
  <c r="AZ14" i="10"/>
  <c r="AZ13" i="10"/>
  <c r="AZ14" i="9"/>
  <c r="AZ13" i="9"/>
  <c r="AZ14" i="8"/>
  <c r="AZ13" i="8"/>
  <c r="AZ14" i="7"/>
  <c r="AZ13" i="7"/>
  <c r="AZ14" i="6"/>
  <c r="AZ13" i="6"/>
  <c r="AZ14" i="5"/>
  <c r="AZ13" i="5"/>
  <c r="AZ14" i="4"/>
  <c r="AZ13" i="4"/>
  <c r="AZ14" i="3"/>
  <c r="AZ13" i="3"/>
  <c r="V12" i="6"/>
  <c r="V13" i="6"/>
  <c r="V20" i="6"/>
  <c r="V26" i="6"/>
  <c r="V27" i="6"/>
  <c r="V33" i="6"/>
  <c r="V34" i="6"/>
  <c r="AX9" i="5" l="1"/>
  <c r="V8" i="5"/>
  <c r="V9" i="5"/>
  <c r="V15" i="5"/>
  <c r="V16" i="5"/>
  <c r="V22" i="5"/>
  <c r="V23" i="5"/>
  <c r="V29" i="5"/>
  <c r="V30" i="5"/>
  <c r="V37" i="5"/>
  <c r="V36" i="5"/>
  <c r="C4" i="14"/>
  <c r="C4" i="13"/>
  <c r="C4" i="12"/>
  <c r="C4" i="11"/>
  <c r="C4" i="10"/>
  <c r="C4" i="9"/>
  <c r="C4" i="8"/>
  <c r="C4" i="7"/>
  <c r="C4" i="6"/>
  <c r="C4" i="5"/>
  <c r="C4" i="4"/>
  <c r="C4" i="3"/>
  <c r="V9" i="4"/>
  <c r="V16" i="4"/>
  <c r="V23" i="4"/>
  <c r="V30" i="4"/>
  <c r="AZ21" i="14"/>
  <c r="AZ21" i="13"/>
  <c r="AZ21" i="12"/>
  <c r="AZ21" i="11"/>
  <c r="AZ21" i="10"/>
  <c r="AZ21" i="9"/>
  <c r="V33" i="3"/>
  <c r="V26" i="3"/>
  <c r="V19" i="3"/>
  <c r="V12" i="3"/>
  <c r="AZ35" i="4"/>
  <c r="AZ36" i="4"/>
  <c r="V36" i="14" l="1"/>
  <c r="V29" i="14"/>
  <c r="V22" i="14"/>
  <c r="V15" i="14"/>
  <c r="V8" i="14"/>
  <c r="V31" i="13"/>
  <c r="V24" i="13"/>
  <c r="V10" i="13"/>
  <c r="V34" i="12"/>
  <c r="V27" i="12"/>
  <c r="V20" i="12"/>
  <c r="V13" i="12"/>
  <c r="V36" i="11"/>
  <c r="V29" i="11"/>
  <c r="V22" i="11"/>
  <c r="V15" i="11"/>
  <c r="V32" i="10"/>
  <c r="V25" i="10"/>
  <c r="AX7" i="9"/>
  <c r="V35" i="9"/>
  <c r="V28" i="9"/>
  <c r="V21" i="9"/>
  <c r="V14" i="9"/>
  <c r="V7" i="9"/>
  <c r="V30" i="8"/>
  <c r="V23" i="8"/>
  <c r="V16" i="8"/>
  <c r="V9" i="8"/>
  <c r="V33" i="7"/>
  <c r="V26" i="7"/>
  <c r="V12" i="7"/>
  <c r="AX7" i="6"/>
  <c r="V35" i="6"/>
  <c r="V28" i="6"/>
  <c r="V21" i="6"/>
  <c r="V14" i="6"/>
  <c r="V7" i="6"/>
  <c r="V31" i="5"/>
  <c r="V24" i="5"/>
  <c r="V17" i="5"/>
  <c r="V10" i="5"/>
  <c r="V31" i="4"/>
  <c r="V24" i="4"/>
  <c r="V17" i="4"/>
  <c r="V10" i="4"/>
  <c r="V34" i="3"/>
  <c r="V27" i="3"/>
  <c r="V20" i="3"/>
  <c r="V13" i="3"/>
  <c r="AX8" i="3" l="1"/>
  <c r="AX10" i="3" s="1"/>
  <c r="AX11" i="3" s="1"/>
  <c r="AX8" i="14" l="1"/>
  <c r="AX8" i="11"/>
  <c r="AX9" i="8"/>
  <c r="AX12" i="14" l="1"/>
  <c r="AX13" i="14" s="1"/>
  <c r="AX14" i="14" s="1"/>
  <c r="AX10" i="12"/>
  <c r="AX11" i="12" s="1"/>
  <c r="AX12" i="12" s="1"/>
  <c r="AX12" i="11"/>
  <c r="AX13" i="11" s="1"/>
  <c r="AX14" i="11" s="1"/>
  <c r="AX11" i="9"/>
  <c r="AX12" i="9" s="1"/>
  <c r="AX13" i="9" s="1"/>
  <c r="AX11" i="6"/>
  <c r="AX12" i="6" s="1"/>
  <c r="AX13" i="6" s="1"/>
  <c r="AX14" i="6" s="1"/>
  <c r="AX12" i="3"/>
  <c r="AX10" i="7" l="1"/>
  <c r="AX11" i="7" s="1"/>
  <c r="AX12" i="7" s="1"/>
  <c r="AX10" i="5"/>
  <c r="AX14" i="7" l="1"/>
  <c r="AX16" i="6"/>
  <c r="AX16" i="7" l="1"/>
  <c r="AX17" i="7" s="1"/>
  <c r="AX18" i="7" s="1"/>
  <c r="AX19" i="7" s="1"/>
  <c r="AX14" i="5"/>
  <c r="AX15" i="5" s="1"/>
  <c r="AX16" i="5" s="1"/>
  <c r="AX18" i="6"/>
  <c r="AX19" i="6" s="1"/>
  <c r="AX20" i="6" s="1"/>
  <c r="AX21" i="6" s="1"/>
  <c r="AX10" i="13"/>
  <c r="AX23" i="6" l="1"/>
  <c r="AX21" i="7"/>
  <c r="AX17" i="5"/>
  <c r="AW9" i="9"/>
  <c r="AW7" i="7"/>
  <c r="AV9" i="6"/>
  <c r="AV8" i="6"/>
  <c r="AW7" i="6"/>
  <c r="AX19" i="5" l="1"/>
  <c r="AX25" i="6"/>
  <c r="AX26" i="6" s="1"/>
  <c r="AX27" i="6" s="1"/>
  <c r="AX28" i="6" s="1"/>
  <c r="AX29" i="6" s="1"/>
  <c r="AX23" i="7"/>
  <c r="AX24" i="7" s="1"/>
  <c r="AX25" i="7" s="1"/>
  <c r="AX26" i="7" s="1"/>
  <c r="AV9" i="9"/>
  <c r="AV7" i="7"/>
  <c r="AV7" i="6"/>
  <c r="AX21" i="5" l="1"/>
  <c r="AX22" i="5" s="1"/>
  <c r="AX23" i="5" s="1"/>
  <c r="AX24" i="5" s="1"/>
  <c r="AX30" i="6"/>
  <c r="AX31" i="6" s="1"/>
  <c r="AX28" i="7"/>
  <c r="AW8" i="6"/>
  <c r="AX26" i="5" l="1"/>
  <c r="AX32" i="6"/>
  <c r="AX33" i="6" s="1"/>
  <c r="AX34" i="6" s="1"/>
  <c r="AX35" i="6" s="1"/>
  <c r="AX36" i="6" s="1"/>
  <c r="AX30" i="7"/>
  <c r="AX31" i="7" s="1"/>
  <c r="AX32" i="7" s="1"/>
  <c r="AX33" i="7" s="1"/>
  <c r="AX34" i="7" s="1"/>
  <c r="AX14" i="9"/>
  <c r="AW9" i="6"/>
  <c r="AX16" i="9" l="1"/>
  <c r="AX28" i="5"/>
  <c r="AX29" i="5" s="1"/>
  <c r="AX30" i="5" s="1"/>
  <c r="AX31" i="5" s="1"/>
  <c r="AX35" i="7"/>
  <c r="AV10" i="6"/>
  <c r="AW10" i="6"/>
  <c r="AX18" i="9" l="1"/>
  <c r="AX19" i="9" s="1"/>
  <c r="AX20" i="9" s="1"/>
  <c r="AX36" i="7"/>
  <c r="AX37" i="7" s="1"/>
  <c r="AX33" i="5"/>
  <c r="AV11" i="6"/>
  <c r="AW11" i="6"/>
  <c r="AX35" i="5" l="1"/>
  <c r="AX36" i="5" s="1"/>
  <c r="AX37" i="5" s="1"/>
  <c r="AV12" i="6"/>
  <c r="AW12" i="6"/>
  <c r="AV13" i="6" l="1"/>
  <c r="AW13" i="6"/>
  <c r="AW7" i="3" l="1"/>
  <c r="AV7" i="3"/>
  <c r="AV9" i="3" l="1"/>
  <c r="AV8" i="3"/>
  <c r="AW8" i="3"/>
  <c r="AW9" i="3"/>
  <c r="AV10" i="3" l="1"/>
  <c r="AW10" i="3"/>
  <c r="AV12" i="3" l="1"/>
  <c r="AX13" i="3"/>
  <c r="AV11" i="3"/>
  <c r="AW11" i="3"/>
  <c r="AW12" i="3"/>
  <c r="AX15" i="3" l="1"/>
  <c r="AX17" i="3" s="1"/>
  <c r="AX18" i="3" s="1"/>
  <c r="AX19" i="3" s="1"/>
  <c r="AV13" i="3"/>
  <c r="AV14" i="3"/>
  <c r="AW13" i="3"/>
  <c r="AV15" i="3" l="1"/>
  <c r="AW14" i="3"/>
  <c r="AV16" i="3" l="1"/>
  <c r="AW15" i="3"/>
  <c r="AV17" i="3" l="1"/>
  <c r="AW16" i="3"/>
  <c r="AW17" i="3" l="1"/>
  <c r="AV18" i="3" l="1"/>
  <c r="AW18" i="3"/>
  <c r="AV19" i="3" l="1"/>
  <c r="AX20" i="3"/>
  <c r="AX22" i="3" s="1"/>
  <c r="AX24" i="3" s="1"/>
  <c r="AX25" i="3" s="1"/>
  <c r="AW19" i="3"/>
  <c r="AX26" i="3" l="1"/>
  <c r="AV20" i="3"/>
  <c r="AV21" i="3"/>
  <c r="AW20" i="3"/>
  <c r="AW21" i="3" l="1"/>
  <c r="AV22" i="3"/>
  <c r="AV23" i="3" l="1"/>
  <c r="AW22" i="3"/>
  <c r="AV24" i="3" l="1"/>
  <c r="AW23" i="3"/>
  <c r="AW24" i="3" l="1"/>
  <c r="AV25" i="3" l="1"/>
  <c r="AW25" i="3"/>
  <c r="AV26" i="3" l="1"/>
  <c r="AX27" i="3"/>
  <c r="AX29" i="3" s="1"/>
  <c r="AX31" i="3" s="1"/>
  <c r="AX32" i="3" s="1"/>
  <c r="AW26" i="3"/>
  <c r="AX33" i="3" l="1"/>
  <c r="AV27" i="3"/>
  <c r="AV28" i="3"/>
  <c r="AW27" i="3"/>
  <c r="AV29" i="3" l="1"/>
  <c r="AW28" i="3"/>
  <c r="AW29" i="3" l="1"/>
  <c r="AV30" i="3"/>
  <c r="AV31" i="3" l="1"/>
  <c r="AW30" i="3"/>
  <c r="AW31" i="3" l="1"/>
  <c r="AV32" i="3" l="1"/>
  <c r="AW32" i="3"/>
  <c r="AV33" i="3" l="1"/>
  <c r="AX34" i="3"/>
  <c r="AX36" i="3" s="1"/>
  <c r="AW33" i="3"/>
  <c r="AV34" i="3" l="1"/>
  <c r="AV35" i="3"/>
  <c r="AW34" i="3"/>
  <c r="AV36" i="3" l="1"/>
  <c r="AW35" i="3"/>
  <c r="AV37" i="3" l="1"/>
  <c r="AW36" i="3"/>
  <c r="AW37" i="3" l="1"/>
  <c r="AF2" i="10" l="1"/>
  <c r="M4" i="10"/>
  <c r="U7" i="10"/>
  <c r="AK7" i="10"/>
  <c r="AB7" i="10"/>
  <c r="AC7" i="10"/>
  <c r="AE7" i="10"/>
  <c r="AF7" i="10" s="1"/>
  <c r="W7" i="10" s="1"/>
  <c r="AI7" i="10"/>
  <c r="AJ7" i="10"/>
  <c r="L7" i="10" s="1"/>
  <c r="AM7" i="10"/>
  <c r="AN7" i="10"/>
  <c r="AO7" i="10"/>
  <c r="AP7" i="10"/>
  <c r="T7" i="10" s="1"/>
  <c r="AQ7" i="10"/>
  <c r="Q7" i="10" s="1"/>
  <c r="AR7" i="10"/>
  <c r="R7" i="10" s="1"/>
  <c r="AS7" i="10"/>
  <c r="S7" i="10" s="1"/>
  <c r="AT7" i="10"/>
  <c r="AU7" i="10"/>
  <c r="AV7" i="10"/>
  <c r="AY7" i="10"/>
  <c r="AZ7" i="10"/>
  <c r="U8" i="10"/>
  <c r="AK8" i="10"/>
  <c r="AB8" i="10"/>
  <c r="AC8" i="10"/>
  <c r="AE8" i="10"/>
  <c r="AI8" i="10"/>
  <c r="AJ8" i="10"/>
  <c r="AM8" i="10"/>
  <c r="AN8" i="10"/>
  <c r="AO8" i="10"/>
  <c r="AP8" i="10"/>
  <c r="T8" i="10" s="1"/>
  <c r="AQ8" i="10"/>
  <c r="Q8" i="10" s="1"/>
  <c r="AR8" i="10"/>
  <c r="R8" i="10" s="1"/>
  <c r="AS8" i="10"/>
  <c r="S8" i="10" s="1"/>
  <c r="AT8" i="10"/>
  <c r="AU8" i="10"/>
  <c r="AY8" i="10"/>
  <c r="AZ8" i="10"/>
  <c r="U9" i="10"/>
  <c r="AK9" i="10"/>
  <c r="AB9" i="10"/>
  <c r="AF9" i="10" s="1"/>
  <c r="W9" i="10" s="1"/>
  <c r="AC9" i="10"/>
  <c r="AE9" i="10"/>
  <c r="AI9" i="10"/>
  <c r="AJ9" i="10"/>
  <c r="AM9" i="10"/>
  <c r="AN9" i="10"/>
  <c r="AO9" i="10"/>
  <c r="AP9" i="10"/>
  <c r="T9" i="10" s="1"/>
  <c r="AQ9" i="10"/>
  <c r="Q9" i="10" s="1"/>
  <c r="AR9" i="10"/>
  <c r="R9" i="10" s="1"/>
  <c r="AS9" i="10"/>
  <c r="S9" i="10" s="1"/>
  <c r="AT9" i="10"/>
  <c r="AU9" i="10"/>
  <c r="AY9" i="10"/>
  <c r="AZ9" i="10"/>
  <c r="U10" i="10"/>
  <c r="AB10" i="10"/>
  <c r="AC10" i="10"/>
  <c r="AE10" i="10"/>
  <c r="AI10" i="10"/>
  <c r="AJ10" i="10"/>
  <c r="AK10" i="10"/>
  <c r="AM10" i="10"/>
  <c r="AN10" i="10"/>
  <c r="AO10" i="10"/>
  <c r="AP10" i="10"/>
  <c r="T10" i="10" s="1"/>
  <c r="AQ10" i="10"/>
  <c r="Q10" i="10" s="1"/>
  <c r="AR10" i="10"/>
  <c r="R10" i="10" s="1"/>
  <c r="AS10" i="10"/>
  <c r="S10" i="10" s="1"/>
  <c r="AT10" i="10"/>
  <c r="AU10" i="10"/>
  <c r="AY10" i="10"/>
  <c r="AZ10" i="10"/>
  <c r="U11" i="10"/>
  <c r="AB11" i="10"/>
  <c r="AD11" i="10" s="1"/>
  <c r="AH11" i="10" s="1"/>
  <c r="AC11" i="10"/>
  <c r="AE11" i="10"/>
  <c r="AI11" i="10"/>
  <c r="AG11" i="10" s="1"/>
  <c r="X11" i="10" s="1"/>
  <c r="AJ11" i="10"/>
  <c r="AM11" i="10"/>
  <c r="AN11" i="10"/>
  <c r="AO11" i="10"/>
  <c r="AP11" i="10"/>
  <c r="T11" i="10" s="1"/>
  <c r="AQ11" i="10"/>
  <c r="Q11" i="10" s="1"/>
  <c r="AR11" i="10"/>
  <c r="R11" i="10" s="1"/>
  <c r="AS11" i="10"/>
  <c r="S11" i="10" s="1"/>
  <c r="AT11" i="10"/>
  <c r="AU11" i="10"/>
  <c r="AY11" i="10"/>
  <c r="AZ11" i="10"/>
  <c r="U12" i="10"/>
  <c r="AB12" i="10"/>
  <c r="AC12" i="10"/>
  <c r="AE12" i="10"/>
  <c r="AI12" i="10"/>
  <c r="AJ12" i="10"/>
  <c r="AM12" i="10"/>
  <c r="AN12" i="10"/>
  <c r="AO12" i="10"/>
  <c r="AP12" i="10"/>
  <c r="T12" i="10" s="1"/>
  <c r="AQ12" i="10"/>
  <c r="Q12" i="10" s="1"/>
  <c r="AR12" i="10"/>
  <c r="R12" i="10" s="1"/>
  <c r="AS12" i="10"/>
  <c r="S12" i="10" s="1"/>
  <c r="AT12" i="10"/>
  <c r="AU12" i="10"/>
  <c r="AY12" i="10"/>
  <c r="AZ12" i="10"/>
  <c r="U13" i="10"/>
  <c r="AB13" i="10"/>
  <c r="AC13" i="10"/>
  <c r="AE13" i="10"/>
  <c r="AI13" i="10"/>
  <c r="AG13" i="10" s="1"/>
  <c r="X13" i="10" s="1"/>
  <c r="AJ13" i="10"/>
  <c r="AM13" i="10"/>
  <c r="AN13" i="10"/>
  <c r="AO13" i="10"/>
  <c r="AP13" i="10"/>
  <c r="T13" i="10" s="1"/>
  <c r="AQ13" i="10"/>
  <c r="Q13" i="10" s="1"/>
  <c r="AR13" i="10"/>
  <c r="R13" i="10" s="1"/>
  <c r="AS13" i="10"/>
  <c r="S13" i="10" s="1"/>
  <c r="AT13" i="10"/>
  <c r="AU13" i="10"/>
  <c r="AY13" i="10"/>
  <c r="U14" i="10"/>
  <c r="AB14" i="10"/>
  <c r="AC14" i="10"/>
  <c r="AE14" i="10"/>
  <c r="AI14" i="10"/>
  <c r="AJ14" i="10"/>
  <c r="L14" i="10" s="1"/>
  <c r="AK14" i="10"/>
  <c r="AM14" i="10"/>
  <c r="AN14" i="10"/>
  <c r="AO14" i="10"/>
  <c r="AP14" i="10"/>
  <c r="T14" i="10" s="1"/>
  <c r="AQ14" i="10"/>
  <c r="Q14" i="10" s="1"/>
  <c r="AR14" i="10"/>
  <c r="R14" i="10" s="1"/>
  <c r="AS14" i="10"/>
  <c r="S14" i="10" s="1"/>
  <c r="AT14" i="10"/>
  <c r="AU14" i="10"/>
  <c r="AY14" i="10"/>
  <c r="U15" i="10"/>
  <c r="AB15" i="10"/>
  <c r="AD15" i="10" s="1"/>
  <c r="AH15" i="10" s="1"/>
  <c r="AC15" i="10"/>
  <c r="AE15" i="10"/>
  <c r="AI15" i="10"/>
  <c r="AJ15" i="10"/>
  <c r="AK15" i="10"/>
  <c r="AM15" i="10"/>
  <c r="AN15" i="10"/>
  <c r="AO15" i="10"/>
  <c r="AP15" i="10"/>
  <c r="T15" i="10" s="1"/>
  <c r="AQ15" i="10"/>
  <c r="Q15" i="10" s="1"/>
  <c r="AR15" i="10"/>
  <c r="R15" i="10" s="1"/>
  <c r="AS15" i="10"/>
  <c r="S15" i="10" s="1"/>
  <c r="AT15" i="10"/>
  <c r="AU15" i="10"/>
  <c r="AY15" i="10"/>
  <c r="AZ15" i="10"/>
  <c r="U16" i="10"/>
  <c r="AK16" i="10"/>
  <c r="AB16" i="10"/>
  <c r="AC16" i="10"/>
  <c r="AE16" i="10"/>
  <c r="AI16" i="10"/>
  <c r="AJ16" i="10"/>
  <c r="AM16" i="10"/>
  <c r="AN16" i="10"/>
  <c r="AO16" i="10"/>
  <c r="AP16" i="10"/>
  <c r="T16" i="10" s="1"/>
  <c r="AQ16" i="10"/>
  <c r="Q16" i="10" s="1"/>
  <c r="AR16" i="10"/>
  <c r="AS16" i="10"/>
  <c r="S16" i="10" s="1"/>
  <c r="AT16" i="10"/>
  <c r="AU16" i="10"/>
  <c r="AY16" i="10"/>
  <c r="AZ16" i="10"/>
  <c r="U17" i="10"/>
  <c r="AK17" i="10"/>
  <c r="AB17" i="10"/>
  <c r="AD17" i="10" s="1"/>
  <c r="AH17" i="10" s="1"/>
  <c r="AC17" i="10"/>
  <c r="AE17" i="10"/>
  <c r="AI17" i="10"/>
  <c r="AJ17" i="10"/>
  <c r="AM17" i="10"/>
  <c r="AN17" i="10"/>
  <c r="AO17" i="10"/>
  <c r="AP17" i="10"/>
  <c r="T17" i="10" s="1"/>
  <c r="AQ17" i="10"/>
  <c r="Q17" i="10" s="1"/>
  <c r="AR17" i="10"/>
  <c r="R17" i="10" s="1"/>
  <c r="AS17" i="10"/>
  <c r="S17" i="10" s="1"/>
  <c r="AT17" i="10"/>
  <c r="AU17" i="10"/>
  <c r="AY17" i="10"/>
  <c r="AZ17" i="10"/>
  <c r="U18" i="10"/>
  <c r="AB18" i="10"/>
  <c r="AC18" i="10"/>
  <c r="AE18" i="10"/>
  <c r="AI18" i="10"/>
  <c r="AJ18" i="10"/>
  <c r="AM18" i="10"/>
  <c r="AN18" i="10"/>
  <c r="AO18" i="10"/>
  <c r="AP18" i="10"/>
  <c r="T18" i="10" s="1"/>
  <c r="AQ18" i="10"/>
  <c r="Q18" i="10" s="1"/>
  <c r="AR18" i="10"/>
  <c r="R18" i="10" s="1"/>
  <c r="AS18" i="10"/>
  <c r="S18" i="10" s="1"/>
  <c r="AT18" i="10"/>
  <c r="AU18" i="10"/>
  <c r="AY18" i="10"/>
  <c r="AZ18" i="10"/>
  <c r="U19" i="10"/>
  <c r="AB19" i="10"/>
  <c r="AC19" i="10"/>
  <c r="AE19" i="10"/>
  <c r="AI19" i="10"/>
  <c r="AJ19" i="10"/>
  <c r="AM19" i="10"/>
  <c r="AN19" i="10"/>
  <c r="AO19" i="10"/>
  <c r="AP19" i="10"/>
  <c r="T19" i="10" s="1"/>
  <c r="AQ19" i="10"/>
  <c r="Q19" i="10" s="1"/>
  <c r="AR19" i="10"/>
  <c r="R19" i="10" s="1"/>
  <c r="AS19" i="10"/>
  <c r="S19" i="10" s="1"/>
  <c r="AT19" i="10"/>
  <c r="AU19" i="10"/>
  <c r="AY19" i="10"/>
  <c r="AZ19" i="10"/>
  <c r="U20" i="10"/>
  <c r="AB20" i="10"/>
  <c r="AC20" i="10"/>
  <c r="AE20" i="10"/>
  <c r="AI20" i="10"/>
  <c r="AJ20" i="10"/>
  <c r="AM20" i="10"/>
  <c r="AN20" i="10"/>
  <c r="AO20" i="10"/>
  <c r="AP20" i="10"/>
  <c r="T20" i="10" s="1"/>
  <c r="AQ20" i="10"/>
  <c r="Q20" i="10" s="1"/>
  <c r="AR20" i="10"/>
  <c r="R20" i="10" s="1"/>
  <c r="AS20" i="10"/>
  <c r="S20" i="10" s="1"/>
  <c r="AT20" i="10"/>
  <c r="AU20" i="10"/>
  <c r="AY20" i="10"/>
  <c r="AZ20" i="10"/>
  <c r="U21" i="10"/>
  <c r="AK21" i="10"/>
  <c r="AB21" i="10"/>
  <c r="AC21" i="10"/>
  <c r="AE21" i="10"/>
  <c r="AI21" i="10"/>
  <c r="AG21" i="10" s="1"/>
  <c r="X21" i="10" s="1"/>
  <c r="AJ21" i="10"/>
  <c r="L21" i="10" s="1"/>
  <c r="AM21" i="10"/>
  <c r="AN21" i="10"/>
  <c r="AO21" i="10"/>
  <c r="AP21" i="10"/>
  <c r="T21" i="10" s="1"/>
  <c r="AQ21" i="10"/>
  <c r="Q21" i="10" s="1"/>
  <c r="AR21" i="10"/>
  <c r="R21" i="10" s="1"/>
  <c r="AS21" i="10"/>
  <c r="S21" i="10" s="1"/>
  <c r="AT21" i="10"/>
  <c r="AU21" i="10"/>
  <c r="AY21" i="10"/>
  <c r="U22" i="10"/>
  <c r="AB22" i="10"/>
  <c r="AC22" i="10"/>
  <c r="AE22" i="10"/>
  <c r="AI22" i="10"/>
  <c r="AJ22" i="10"/>
  <c r="AK22" i="10"/>
  <c r="AM22" i="10"/>
  <c r="AN22" i="10"/>
  <c r="AO22" i="10"/>
  <c r="AP22" i="10"/>
  <c r="T22" i="10" s="1"/>
  <c r="AQ22" i="10"/>
  <c r="Q22" i="10" s="1"/>
  <c r="AR22" i="10"/>
  <c r="R22" i="10" s="1"/>
  <c r="AS22" i="10"/>
  <c r="S22" i="10" s="1"/>
  <c r="AT22" i="10"/>
  <c r="AU22" i="10"/>
  <c r="AY22" i="10"/>
  <c r="AZ22" i="10"/>
  <c r="U23" i="10"/>
  <c r="AK23" i="10"/>
  <c r="AB23" i="10"/>
  <c r="AC23" i="10"/>
  <c r="AE23" i="10"/>
  <c r="AI23" i="10"/>
  <c r="AJ23" i="10"/>
  <c r="AM23" i="10"/>
  <c r="AN23" i="10"/>
  <c r="AO23" i="10"/>
  <c r="AP23" i="10"/>
  <c r="AQ23" i="10"/>
  <c r="Q23" i="10" s="1"/>
  <c r="AR23" i="10"/>
  <c r="R23" i="10" s="1"/>
  <c r="AS23" i="10"/>
  <c r="S23" i="10" s="1"/>
  <c r="AT23" i="10"/>
  <c r="AU23" i="10"/>
  <c r="AY23" i="10"/>
  <c r="AZ23" i="10"/>
  <c r="U24" i="10"/>
  <c r="AK24" i="10"/>
  <c r="AB24" i="10"/>
  <c r="AC24" i="10"/>
  <c r="AE24" i="10"/>
  <c r="AI24" i="10"/>
  <c r="AJ24" i="10"/>
  <c r="AM24" i="10"/>
  <c r="AN24" i="10"/>
  <c r="AO24" i="10"/>
  <c r="AP24" i="10"/>
  <c r="T24" i="10" s="1"/>
  <c r="AQ24" i="10"/>
  <c r="Q24" i="10" s="1"/>
  <c r="AR24" i="10"/>
  <c r="R24" i="10" s="1"/>
  <c r="AS24" i="10"/>
  <c r="S24" i="10" s="1"/>
  <c r="AT24" i="10"/>
  <c r="AU24" i="10"/>
  <c r="AY24" i="10"/>
  <c r="AZ24" i="10"/>
  <c r="U25" i="10"/>
  <c r="AB25" i="10"/>
  <c r="AC25" i="10"/>
  <c r="AE25" i="10"/>
  <c r="AI25" i="10"/>
  <c r="AJ25" i="10"/>
  <c r="AM25" i="10"/>
  <c r="AN25" i="10"/>
  <c r="AO25" i="10"/>
  <c r="AP25" i="10"/>
  <c r="T25" i="10" s="1"/>
  <c r="AQ25" i="10"/>
  <c r="Q25" i="10" s="1"/>
  <c r="AR25" i="10"/>
  <c r="R25" i="10" s="1"/>
  <c r="AS25" i="10"/>
  <c r="S25" i="10" s="1"/>
  <c r="AT25" i="10"/>
  <c r="AU25" i="10"/>
  <c r="AY25" i="10"/>
  <c r="AZ25" i="10"/>
  <c r="U26" i="10"/>
  <c r="AB26" i="10"/>
  <c r="AC26" i="10"/>
  <c r="AE26" i="10"/>
  <c r="AI26" i="10"/>
  <c r="AJ26" i="10"/>
  <c r="AM26" i="10"/>
  <c r="AN26" i="10"/>
  <c r="AO26" i="10"/>
  <c r="AP26" i="10"/>
  <c r="T26" i="10" s="1"/>
  <c r="AQ26" i="10"/>
  <c r="Q26" i="10" s="1"/>
  <c r="AR26" i="10"/>
  <c r="R26" i="10" s="1"/>
  <c r="AS26" i="10"/>
  <c r="S26" i="10" s="1"/>
  <c r="AT26" i="10"/>
  <c r="AU26" i="10"/>
  <c r="AY26" i="10"/>
  <c r="AZ26" i="10"/>
  <c r="U27" i="10"/>
  <c r="AB27" i="10"/>
  <c r="AC27" i="10"/>
  <c r="AE27" i="10"/>
  <c r="AI27" i="10"/>
  <c r="AJ27" i="10"/>
  <c r="AM27" i="10"/>
  <c r="AN27" i="10"/>
  <c r="AO27" i="10"/>
  <c r="AP27" i="10"/>
  <c r="T27" i="10" s="1"/>
  <c r="AQ27" i="10"/>
  <c r="Q27" i="10" s="1"/>
  <c r="AR27" i="10"/>
  <c r="R27" i="10" s="1"/>
  <c r="AS27" i="10"/>
  <c r="S27" i="10" s="1"/>
  <c r="AT27" i="10"/>
  <c r="AU27" i="10"/>
  <c r="AY27" i="10"/>
  <c r="AZ27" i="10"/>
  <c r="U28" i="10"/>
  <c r="AK28" i="10"/>
  <c r="AB28" i="10"/>
  <c r="AC28" i="10"/>
  <c r="AE28" i="10"/>
  <c r="AI28" i="10"/>
  <c r="AJ28" i="10"/>
  <c r="L28" i="10" s="1"/>
  <c r="AM28" i="10"/>
  <c r="AN28" i="10"/>
  <c r="AO28" i="10"/>
  <c r="AP28" i="10"/>
  <c r="T28" i="10" s="1"/>
  <c r="AQ28" i="10"/>
  <c r="Q28" i="10" s="1"/>
  <c r="AR28" i="10"/>
  <c r="R28" i="10" s="1"/>
  <c r="AS28" i="10"/>
  <c r="S28" i="10" s="1"/>
  <c r="AT28" i="10"/>
  <c r="AU28" i="10"/>
  <c r="AY28" i="10"/>
  <c r="AZ28" i="10"/>
  <c r="U29" i="10"/>
  <c r="AK29" i="10"/>
  <c r="AB29" i="10"/>
  <c r="AC29" i="10"/>
  <c r="AE29" i="10"/>
  <c r="AI29" i="10"/>
  <c r="AJ29" i="10"/>
  <c r="AM29" i="10"/>
  <c r="AN29" i="10"/>
  <c r="AO29" i="10"/>
  <c r="L29" i="10" s="1"/>
  <c r="AP29" i="10"/>
  <c r="T29" i="10" s="1"/>
  <c r="AQ29" i="10"/>
  <c r="AR29" i="10"/>
  <c r="R29" i="10" s="1"/>
  <c r="AS29" i="10"/>
  <c r="S29" i="10" s="1"/>
  <c r="AT29" i="10"/>
  <c r="AU29" i="10"/>
  <c r="AY29" i="10"/>
  <c r="AZ29" i="10"/>
  <c r="U30" i="10"/>
  <c r="AK30" i="10"/>
  <c r="AB30" i="10"/>
  <c r="AF30" i="10" s="1"/>
  <c r="W30" i="10" s="1"/>
  <c r="AC30" i="10"/>
  <c r="AE30" i="10"/>
  <c r="AI30" i="10"/>
  <c r="AJ30" i="10"/>
  <c r="AM30" i="10"/>
  <c r="AN30" i="10"/>
  <c r="AO30" i="10"/>
  <c r="AP30" i="10"/>
  <c r="T30" i="10" s="1"/>
  <c r="AQ30" i="10"/>
  <c r="Q30" i="10" s="1"/>
  <c r="AR30" i="10"/>
  <c r="R30" i="10" s="1"/>
  <c r="AS30" i="10"/>
  <c r="S30" i="10" s="1"/>
  <c r="AT30" i="10"/>
  <c r="AU30" i="10"/>
  <c r="AY30" i="10"/>
  <c r="AZ30" i="10"/>
  <c r="U31" i="10"/>
  <c r="AK31" i="10"/>
  <c r="AB31" i="10"/>
  <c r="AC31" i="10"/>
  <c r="AE31" i="10"/>
  <c r="AI31" i="10"/>
  <c r="AG31" i="10" s="1"/>
  <c r="X31" i="10" s="1"/>
  <c r="AJ31" i="10"/>
  <c r="AM31" i="10"/>
  <c r="AN31" i="10"/>
  <c r="AO31" i="10"/>
  <c r="AP31" i="10"/>
  <c r="T31" i="10" s="1"/>
  <c r="AQ31" i="10"/>
  <c r="Q31" i="10" s="1"/>
  <c r="AR31" i="10"/>
  <c r="R31" i="10" s="1"/>
  <c r="AS31" i="10"/>
  <c r="S31" i="10" s="1"/>
  <c r="AT31" i="10"/>
  <c r="AU31" i="10"/>
  <c r="AY31" i="10"/>
  <c r="AZ31" i="10"/>
  <c r="U32" i="10"/>
  <c r="AB32" i="10"/>
  <c r="AC32" i="10"/>
  <c r="AE32" i="10"/>
  <c r="AI32" i="10"/>
  <c r="AJ32" i="10"/>
  <c r="AM32" i="10"/>
  <c r="AN32" i="10"/>
  <c r="AO32" i="10"/>
  <c r="AP32" i="10"/>
  <c r="T32" i="10" s="1"/>
  <c r="AQ32" i="10"/>
  <c r="Q32" i="10" s="1"/>
  <c r="AR32" i="10"/>
  <c r="R32" i="10" s="1"/>
  <c r="AS32" i="10"/>
  <c r="S32" i="10" s="1"/>
  <c r="AT32" i="10"/>
  <c r="AU32" i="10"/>
  <c r="AY32" i="10"/>
  <c r="AZ32" i="10"/>
  <c r="U33" i="10"/>
  <c r="AB33" i="10"/>
  <c r="AC33" i="10"/>
  <c r="AE33" i="10"/>
  <c r="AI33" i="10"/>
  <c r="AJ33" i="10"/>
  <c r="AM33" i="10"/>
  <c r="AN33" i="10"/>
  <c r="AO33" i="10"/>
  <c r="AP33" i="10"/>
  <c r="T33" i="10" s="1"/>
  <c r="AQ33" i="10"/>
  <c r="Q33" i="10" s="1"/>
  <c r="AR33" i="10"/>
  <c r="R33" i="10" s="1"/>
  <c r="AS33" i="10"/>
  <c r="S33" i="10" s="1"/>
  <c r="AT33" i="10"/>
  <c r="AU33" i="10"/>
  <c r="AY33" i="10"/>
  <c r="AZ33" i="10"/>
  <c r="U34" i="10"/>
  <c r="AB34" i="10"/>
  <c r="AD34" i="10" s="1"/>
  <c r="AH34" i="10" s="1"/>
  <c r="AC34" i="10"/>
  <c r="AE34" i="10"/>
  <c r="AI34" i="10"/>
  <c r="AJ34" i="10"/>
  <c r="AK34" i="10"/>
  <c r="AM34" i="10"/>
  <c r="AN34" i="10"/>
  <c r="AO34" i="10"/>
  <c r="AP34" i="10"/>
  <c r="T34" i="10" s="1"/>
  <c r="AQ34" i="10"/>
  <c r="Q34" i="10" s="1"/>
  <c r="AR34" i="10"/>
  <c r="R34" i="10" s="1"/>
  <c r="AS34" i="10"/>
  <c r="S34" i="10" s="1"/>
  <c r="AT34" i="10"/>
  <c r="AU34" i="10"/>
  <c r="AY34" i="10"/>
  <c r="AZ34" i="10"/>
  <c r="U35" i="10"/>
  <c r="AK35" i="10"/>
  <c r="AB35" i="10"/>
  <c r="AC35" i="10"/>
  <c r="AE35" i="10"/>
  <c r="AI35" i="10"/>
  <c r="AJ35" i="10"/>
  <c r="L35" i="10" s="1"/>
  <c r="AM35" i="10"/>
  <c r="AN35" i="10"/>
  <c r="AO35" i="10"/>
  <c r="AP35" i="10"/>
  <c r="T35" i="10" s="1"/>
  <c r="AQ35" i="10"/>
  <c r="Q35" i="10" s="1"/>
  <c r="AR35" i="10"/>
  <c r="R35" i="10" s="1"/>
  <c r="AS35" i="10"/>
  <c r="S35" i="10" s="1"/>
  <c r="AT35" i="10"/>
  <c r="AU35" i="10"/>
  <c r="AY35" i="10"/>
  <c r="AZ35" i="10"/>
  <c r="U36" i="10"/>
  <c r="AB36" i="10"/>
  <c r="AC36" i="10"/>
  <c r="AE36" i="10"/>
  <c r="AI36" i="10"/>
  <c r="AG36" i="10" s="1"/>
  <c r="X36" i="10" s="1"/>
  <c r="AJ36" i="10"/>
  <c r="AK36" i="10"/>
  <c r="AM36" i="10"/>
  <c r="AN36" i="10"/>
  <c r="AO36" i="10"/>
  <c r="AP36" i="10"/>
  <c r="T36" i="10" s="1"/>
  <c r="AQ36" i="10"/>
  <c r="Q36" i="10" s="1"/>
  <c r="AR36" i="10"/>
  <c r="R36" i="10" s="1"/>
  <c r="AS36" i="10"/>
  <c r="S36" i="10" s="1"/>
  <c r="AT36" i="10"/>
  <c r="AU36" i="10"/>
  <c r="AY36" i="10"/>
  <c r="AZ36" i="10"/>
  <c r="U37" i="10"/>
  <c r="AK37" i="10"/>
  <c r="AB37" i="10"/>
  <c r="AC37" i="10"/>
  <c r="AE37" i="10"/>
  <c r="AI37" i="10"/>
  <c r="AJ37" i="10"/>
  <c r="AM37" i="10"/>
  <c r="AN37" i="10"/>
  <c r="AO37" i="10"/>
  <c r="AP37" i="10"/>
  <c r="T37" i="10" s="1"/>
  <c r="AQ37" i="10"/>
  <c r="Q37" i="10" s="1"/>
  <c r="AR37" i="10"/>
  <c r="R37" i="10" s="1"/>
  <c r="AS37" i="10"/>
  <c r="S37" i="10" s="1"/>
  <c r="AT37" i="10"/>
  <c r="AU37" i="10"/>
  <c r="AY37" i="10"/>
  <c r="AZ37" i="10"/>
  <c r="AZ38" i="10"/>
  <c r="AZ39" i="10"/>
  <c r="AA40" i="10"/>
  <c r="AZ40" i="10"/>
  <c r="AZ41" i="10"/>
  <c r="W42" i="10"/>
  <c r="AH42" i="10"/>
  <c r="AZ42" i="10"/>
  <c r="M43" i="10"/>
  <c r="W43" i="10"/>
  <c r="AZ43" i="10"/>
  <c r="W46" i="10"/>
  <c r="W47" i="10"/>
  <c r="W48" i="10"/>
  <c r="W49" i="10"/>
  <c r="W50" i="10"/>
  <c r="W51" i="10"/>
  <c r="M52" i="10"/>
  <c r="U52" i="10" s="1"/>
  <c r="W52" i="10"/>
  <c r="W53" i="10"/>
  <c r="W54" i="10"/>
  <c r="AE54" i="10"/>
  <c r="AF54" i="10" s="1"/>
  <c r="AH54" i="10" s="1"/>
  <c r="M53" i="10" s="1"/>
  <c r="W55" i="10"/>
  <c r="AE55" i="10"/>
  <c r="AF55" i="10" s="1"/>
  <c r="AH55" i="10" s="1"/>
  <c r="M54" i="10" s="1"/>
  <c r="W56" i="10"/>
  <c r="AF2" i="6"/>
  <c r="M4" i="6"/>
  <c r="U7" i="6"/>
  <c r="AB7" i="6"/>
  <c r="AC7" i="6"/>
  <c r="AE7" i="6"/>
  <c r="AI7" i="6"/>
  <c r="AJ7" i="6"/>
  <c r="AM7" i="6"/>
  <c r="AN7" i="6"/>
  <c r="AO7" i="6"/>
  <c r="AP7" i="6"/>
  <c r="T7" i="6" s="1"/>
  <c r="AQ7" i="6"/>
  <c r="Q7" i="6" s="1"/>
  <c r="AR7" i="6"/>
  <c r="R7" i="6" s="1"/>
  <c r="AS7" i="6"/>
  <c r="S7" i="6" s="1"/>
  <c r="AT7" i="6"/>
  <c r="AU7" i="6"/>
  <c r="AY7" i="6"/>
  <c r="AZ7" i="6"/>
  <c r="U8" i="6"/>
  <c r="AB8" i="6"/>
  <c r="AC8" i="6"/>
  <c r="AE8" i="6"/>
  <c r="AI8" i="6"/>
  <c r="AJ8" i="6"/>
  <c r="AM8" i="6"/>
  <c r="AN8" i="6"/>
  <c r="AO8" i="6"/>
  <c r="AP8" i="6"/>
  <c r="T8" i="6" s="1"/>
  <c r="AQ8" i="6"/>
  <c r="Q8" i="6" s="1"/>
  <c r="AR8" i="6"/>
  <c r="R8" i="6" s="1"/>
  <c r="AS8" i="6"/>
  <c r="S8" i="6" s="1"/>
  <c r="AT8" i="6"/>
  <c r="AU8" i="6"/>
  <c r="AY8" i="6"/>
  <c r="AZ8" i="6"/>
  <c r="U9" i="6"/>
  <c r="AB9" i="6"/>
  <c r="AC9" i="6"/>
  <c r="AE9" i="6"/>
  <c r="AI9" i="6"/>
  <c r="AJ9" i="6"/>
  <c r="AM9" i="6"/>
  <c r="AN9" i="6"/>
  <c r="AO9" i="6"/>
  <c r="AP9" i="6"/>
  <c r="T9" i="6" s="1"/>
  <c r="AQ9" i="6"/>
  <c r="Q9" i="6" s="1"/>
  <c r="AR9" i="6"/>
  <c r="R9" i="6" s="1"/>
  <c r="AS9" i="6"/>
  <c r="S9" i="6" s="1"/>
  <c r="AT9" i="6"/>
  <c r="AU9" i="6"/>
  <c r="AY9" i="6"/>
  <c r="AZ9" i="6"/>
  <c r="U10" i="6"/>
  <c r="AK10" i="6"/>
  <c r="AB10" i="6"/>
  <c r="AC10" i="6"/>
  <c r="AE10" i="6"/>
  <c r="AI10" i="6"/>
  <c r="AJ10" i="6"/>
  <c r="L10" i="6" s="1"/>
  <c r="AM10" i="6"/>
  <c r="AN10" i="6"/>
  <c r="AO10" i="6"/>
  <c r="AP10" i="6"/>
  <c r="T10" i="6" s="1"/>
  <c r="AQ10" i="6"/>
  <c r="Q10" i="6" s="1"/>
  <c r="AR10" i="6"/>
  <c r="R10" i="6" s="1"/>
  <c r="AS10" i="6"/>
  <c r="S10" i="6" s="1"/>
  <c r="AT10" i="6"/>
  <c r="AU10" i="6"/>
  <c r="AY10" i="6"/>
  <c r="AZ10" i="6"/>
  <c r="U11" i="6"/>
  <c r="AB11" i="6"/>
  <c r="AC11" i="6"/>
  <c r="AE11" i="6"/>
  <c r="AI11" i="6"/>
  <c r="AJ11" i="6"/>
  <c r="AM11" i="6"/>
  <c r="AN11" i="6"/>
  <c r="AO11" i="6"/>
  <c r="AP11" i="6"/>
  <c r="T11" i="6" s="1"/>
  <c r="AQ11" i="6"/>
  <c r="Q11" i="6" s="1"/>
  <c r="AR11" i="6"/>
  <c r="R11" i="6" s="1"/>
  <c r="AS11" i="6"/>
  <c r="S11" i="6" s="1"/>
  <c r="AT11" i="6"/>
  <c r="AU11" i="6"/>
  <c r="AY11" i="6"/>
  <c r="AZ11" i="6"/>
  <c r="U12" i="6"/>
  <c r="AK12" i="6"/>
  <c r="AB12" i="6"/>
  <c r="AC12" i="6"/>
  <c r="AE12" i="6"/>
  <c r="AI12" i="6"/>
  <c r="AJ12" i="6"/>
  <c r="AM12" i="6"/>
  <c r="AN12" i="6"/>
  <c r="AO12" i="6"/>
  <c r="L12" i="6" s="1"/>
  <c r="AP12" i="6"/>
  <c r="T12" i="6" s="1"/>
  <c r="AQ12" i="6"/>
  <c r="Q12" i="6" s="1"/>
  <c r="AR12" i="6"/>
  <c r="R12" i="6" s="1"/>
  <c r="AS12" i="6"/>
  <c r="S12" i="6" s="1"/>
  <c r="AT12" i="6"/>
  <c r="AU12" i="6"/>
  <c r="AY12" i="6"/>
  <c r="AZ12" i="6"/>
  <c r="U13" i="6"/>
  <c r="AK13" i="6"/>
  <c r="AB13" i="6"/>
  <c r="AC13" i="6"/>
  <c r="AE13" i="6"/>
  <c r="AI13" i="6"/>
  <c r="AJ13" i="6"/>
  <c r="AM13" i="6"/>
  <c r="AN13" i="6"/>
  <c r="AO13" i="6"/>
  <c r="AP13" i="6"/>
  <c r="T13" i="6" s="1"/>
  <c r="AQ13" i="6"/>
  <c r="Q13" i="6" s="1"/>
  <c r="AR13" i="6"/>
  <c r="R13" i="6" s="1"/>
  <c r="AS13" i="6"/>
  <c r="S13" i="6" s="1"/>
  <c r="AT13" i="6"/>
  <c r="AU13" i="6"/>
  <c r="AY13" i="6"/>
  <c r="U14" i="6"/>
  <c r="AB14" i="6"/>
  <c r="AC14" i="6"/>
  <c r="AE14" i="6"/>
  <c r="AI14" i="6"/>
  <c r="AJ14" i="6"/>
  <c r="AM14" i="6"/>
  <c r="AN14" i="6"/>
  <c r="AO14" i="6"/>
  <c r="AP14" i="6"/>
  <c r="T14" i="6" s="1"/>
  <c r="AQ14" i="6"/>
  <c r="Q14" i="6" s="1"/>
  <c r="AR14" i="6"/>
  <c r="AS14" i="6"/>
  <c r="S14" i="6" s="1"/>
  <c r="AT14" i="6"/>
  <c r="AU14" i="6"/>
  <c r="AY14" i="6"/>
  <c r="U15" i="6"/>
  <c r="AB15" i="6"/>
  <c r="AC15" i="6"/>
  <c r="AE15" i="6"/>
  <c r="AI15" i="6"/>
  <c r="AJ15" i="6"/>
  <c r="AM15" i="6"/>
  <c r="AN15" i="6"/>
  <c r="AO15" i="6"/>
  <c r="AP15" i="6"/>
  <c r="T15" i="6" s="1"/>
  <c r="AQ15" i="6"/>
  <c r="Q15" i="6" s="1"/>
  <c r="AR15" i="6"/>
  <c r="R15" i="6" s="1"/>
  <c r="AS15" i="6"/>
  <c r="S15" i="6" s="1"/>
  <c r="AT15" i="6"/>
  <c r="AU15" i="6"/>
  <c r="AY15" i="6"/>
  <c r="AZ15" i="6"/>
  <c r="U16" i="6"/>
  <c r="AK16" i="6"/>
  <c r="AB16" i="6"/>
  <c r="AC16" i="6"/>
  <c r="AE16" i="6"/>
  <c r="AI16" i="6"/>
  <c r="AJ16" i="6"/>
  <c r="AM16" i="6"/>
  <c r="AN16" i="6"/>
  <c r="AO16" i="6"/>
  <c r="AP16" i="6"/>
  <c r="T16" i="6" s="1"/>
  <c r="AQ16" i="6"/>
  <c r="Q16" i="6" s="1"/>
  <c r="AR16" i="6"/>
  <c r="R16" i="6" s="1"/>
  <c r="AS16" i="6"/>
  <c r="S16" i="6" s="1"/>
  <c r="AT16" i="6"/>
  <c r="AU16" i="6"/>
  <c r="AY16" i="6"/>
  <c r="AZ16" i="6"/>
  <c r="U17" i="6"/>
  <c r="AK17" i="6"/>
  <c r="AB17" i="6"/>
  <c r="AC17" i="6"/>
  <c r="AE17" i="6"/>
  <c r="AI17" i="6"/>
  <c r="AJ17" i="6"/>
  <c r="L17" i="6" s="1"/>
  <c r="AM17" i="6"/>
  <c r="AN17" i="6"/>
  <c r="AO17" i="6"/>
  <c r="AP17" i="6"/>
  <c r="T17" i="6" s="1"/>
  <c r="AQ17" i="6"/>
  <c r="Q17" i="6" s="1"/>
  <c r="AR17" i="6"/>
  <c r="R17" i="6" s="1"/>
  <c r="AS17" i="6"/>
  <c r="S17" i="6" s="1"/>
  <c r="AT17" i="6"/>
  <c r="AU17" i="6"/>
  <c r="AY17" i="6"/>
  <c r="AZ17" i="6"/>
  <c r="U18" i="6"/>
  <c r="AK18" i="6"/>
  <c r="AB18" i="6"/>
  <c r="AC18" i="6"/>
  <c r="AE18" i="6"/>
  <c r="AI18" i="6"/>
  <c r="AJ18" i="6"/>
  <c r="AM18" i="6"/>
  <c r="AN18" i="6"/>
  <c r="AO18" i="6"/>
  <c r="L18" i="6" s="1"/>
  <c r="AP18" i="6"/>
  <c r="T18" i="6" s="1"/>
  <c r="AQ18" i="6"/>
  <c r="Q18" i="6" s="1"/>
  <c r="AR18" i="6"/>
  <c r="R18" i="6" s="1"/>
  <c r="AS18" i="6"/>
  <c r="S18" i="6" s="1"/>
  <c r="AT18" i="6"/>
  <c r="AU18" i="6"/>
  <c r="AY18" i="6"/>
  <c r="AZ18" i="6"/>
  <c r="U19" i="6"/>
  <c r="AB19" i="6"/>
  <c r="AC19" i="6"/>
  <c r="AE19" i="6"/>
  <c r="AI19" i="6"/>
  <c r="AJ19" i="6"/>
  <c r="AM19" i="6"/>
  <c r="AN19" i="6"/>
  <c r="AO19" i="6"/>
  <c r="AP19" i="6"/>
  <c r="T19" i="6" s="1"/>
  <c r="AQ19" i="6"/>
  <c r="Q19" i="6" s="1"/>
  <c r="AR19" i="6"/>
  <c r="R19" i="6" s="1"/>
  <c r="AS19" i="6"/>
  <c r="S19" i="6" s="1"/>
  <c r="AT19" i="6"/>
  <c r="AU19" i="6"/>
  <c r="AY19" i="6"/>
  <c r="AZ19" i="6"/>
  <c r="U20" i="6"/>
  <c r="AK20" i="6"/>
  <c r="AB20" i="6"/>
  <c r="AC20" i="6"/>
  <c r="AE20" i="6"/>
  <c r="AI20" i="6"/>
  <c r="AJ20" i="6"/>
  <c r="AM20" i="6"/>
  <c r="AN20" i="6"/>
  <c r="AO20" i="6"/>
  <c r="AP20" i="6"/>
  <c r="T20" i="6" s="1"/>
  <c r="AQ20" i="6"/>
  <c r="Q20" i="6" s="1"/>
  <c r="AR20" i="6"/>
  <c r="R20" i="6" s="1"/>
  <c r="AS20" i="6"/>
  <c r="S20" i="6" s="1"/>
  <c r="AT20" i="6"/>
  <c r="AU20" i="6"/>
  <c r="AY20" i="6"/>
  <c r="AZ20" i="6"/>
  <c r="U21" i="6"/>
  <c r="AB21" i="6"/>
  <c r="AC21" i="6"/>
  <c r="AE21" i="6"/>
  <c r="AI21" i="6"/>
  <c r="AJ21" i="6"/>
  <c r="AM21" i="6"/>
  <c r="AN21" i="6"/>
  <c r="AO21" i="6"/>
  <c r="AP21" i="6"/>
  <c r="T21" i="6" s="1"/>
  <c r="AQ21" i="6"/>
  <c r="Q21" i="6" s="1"/>
  <c r="AR21" i="6"/>
  <c r="R21" i="6" s="1"/>
  <c r="AS21" i="6"/>
  <c r="S21" i="6" s="1"/>
  <c r="AT21" i="6"/>
  <c r="AU21" i="6"/>
  <c r="AY21" i="6"/>
  <c r="U22" i="6"/>
  <c r="AB22" i="6"/>
  <c r="AC22" i="6"/>
  <c r="AE22" i="6"/>
  <c r="AI22" i="6"/>
  <c r="AJ22" i="6"/>
  <c r="AM22" i="6"/>
  <c r="AN22" i="6"/>
  <c r="AO22" i="6"/>
  <c r="AP22" i="6"/>
  <c r="T22" i="6" s="1"/>
  <c r="AQ22" i="6"/>
  <c r="Q22" i="6" s="1"/>
  <c r="AR22" i="6"/>
  <c r="R22" i="6" s="1"/>
  <c r="AS22" i="6"/>
  <c r="S22" i="6" s="1"/>
  <c r="AT22" i="6"/>
  <c r="AU22" i="6"/>
  <c r="AY22" i="6"/>
  <c r="AZ22" i="6"/>
  <c r="U23" i="6"/>
  <c r="AB23" i="6"/>
  <c r="AC23" i="6"/>
  <c r="AE23" i="6"/>
  <c r="AI23" i="6"/>
  <c r="AJ23" i="6"/>
  <c r="AM23" i="6"/>
  <c r="AN23" i="6"/>
  <c r="AO23" i="6"/>
  <c r="AP23" i="6"/>
  <c r="T23" i="6" s="1"/>
  <c r="AQ23" i="6"/>
  <c r="Q23" i="6" s="1"/>
  <c r="AR23" i="6"/>
  <c r="R23" i="6" s="1"/>
  <c r="AS23" i="6"/>
  <c r="S23" i="6" s="1"/>
  <c r="AT23" i="6"/>
  <c r="AU23" i="6"/>
  <c r="AY23" i="6"/>
  <c r="AZ23" i="6"/>
  <c r="U24" i="6"/>
  <c r="AK24" i="6"/>
  <c r="AB24" i="6"/>
  <c r="AC24" i="6"/>
  <c r="AE24" i="6"/>
  <c r="AI24" i="6"/>
  <c r="AJ24" i="6"/>
  <c r="L24" i="6" s="1"/>
  <c r="AM24" i="6"/>
  <c r="AN24" i="6"/>
  <c r="AO24" i="6"/>
  <c r="AP24" i="6"/>
  <c r="T24" i="6" s="1"/>
  <c r="AQ24" i="6"/>
  <c r="Q24" i="6" s="1"/>
  <c r="AR24" i="6"/>
  <c r="R24" i="6" s="1"/>
  <c r="AS24" i="6"/>
  <c r="S24" i="6" s="1"/>
  <c r="AT24" i="6"/>
  <c r="AU24" i="6"/>
  <c r="AY24" i="6"/>
  <c r="AZ24" i="6"/>
  <c r="U25" i="6"/>
  <c r="AB25" i="6"/>
  <c r="AC25" i="6"/>
  <c r="AE25" i="6"/>
  <c r="AI25" i="6"/>
  <c r="AJ25" i="6"/>
  <c r="AK25" i="6"/>
  <c r="AM25" i="6"/>
  <c r="AN25" i="6"/>
  <c r="AO25" i="6"/>
  <c r="L25" i="6" s="1"/>
  <c r="AP25" i="6"/>
  <c r="T25" i="6" s="1"/>
  <c r="AQ25" i="6"/>
  <c r="Q25" i="6" s="1"/>
  <c r="AR25" i="6"/>
  <c r="R25" i="6" s="1"/>
  <c r="AS25" i="6"/>
  <c r="S25" i="6" s="1"/>
  <c r="AT25" i="6"/>
  <c r="AU25" i="6"/>
  <c r="AY25" i="6"/>
  <c r="AZ25" i="6"/>
  <c r="U26" i="6"/>
  <c r="AK26" i="6"/>
  <c r="AB26" i="6"/>
  <c r="AC26" i="6"/>
  <c r="AE26" i="6"/>
  <c r="AI26" i="6"/>
  <c r="AJ26" i="6"/>
  <c r="AM26" i="6"/>
  <c r="AN26" i="6"/>
  <c r="AO26" i="6"/>
  <c r="AP26" i="6"/>
  <c r="T26" i="6" s="1"/>
  <c r="AQ26" i="6"/>
  <c r="Q26" i="6" s="1"/>
  <c r="AR26" i="6"/>
  <c r="R26" i="6" s="1"/>
  <c r="AS26" i="6"/>
  <c r="S26" i="6" s="1"/>
  <c r="AT26" i="6"/>
  <c r="AU26" i="6"/>
  <c r="AY26" i="6"/>
  <c r="AZ26" i="6"/>
  <c r="U27" i="6"/>
  <c r="AK27" i="6"/>
  <c r="AB27" i="6"/>
  <c r="AC27" i="6"/>
  <c r="AE27" i="6"/>
  <c r="AI27" i="6"/>
  <c r="AJ27" i="6"/>
  <c r="AM27" i="6"/>
  <c r="AN27" i="6"/>
  <c r="AO27" i="6"/>
  <c r="AP27" i="6"/>
  <c r="T27" i="6" s="1"/>
  <c r="AQ27" i="6"/>
  <c r="Q27" i="6" s="1"/>
  <c r="AR27" i="6"/>
  <c r="R27" i="6" s="1"/>
  <c r="AS27" i="6"/>
  <c r="S27" i="6" s="1"/>
  <c r="AT27" i="6"/>
  <c r="AU27" i="6"/>
  <c r="AY27" i="6"/>
  <c r="AZ27" i="6"/>
  <c r="U28" i="6"/>
  <c r="AB28" i="6"/>
  <c r="AC28" i="6"/>
  <c r="AE28" i="6"/>
  <c r="AI28" i="6"/>
  <c r="AJ28" i="6"/>
  <c r="AM28" i="6"/>
  <c r="AN28" i="6"/>
  <c r="AO28" i="6"/>
  <c r="AP28" i="6"/>
  <c r="T28" i="6" s="1"/>
  <c r="AQ28" i="6"/>
  <c r="Q28" i="6" s="1"/>
  <c r="AR28" i="6"/>
  <c r="R28" i="6" s="1"/>
  <c r="AS28" i="6"/>
  <c r="S28" i="6" s="1"/>
  <c r="AT28" i="6"/>
  <c r="AU28" i="6"/>
  <c r="AY28" i="6"/>
  <c r="AZ28" i="6"/>
  <c r="U29" i="6"/>
  <c r="AB29" i="6"/>
  <c r="AC29" i="6"/>
  <c r="AE29" i="6"/>
  <c r="AI29" i="6"/>
  <c r="AJ29" i="6"/>
  <c r="AM29" i="6"/>
  <c r="AN29" i="6"/>
  <c r="AO29" i="6"/>
  <c r="AP29" i="6"/>
  <c r="T29" i="6" s="1"/>
  <c r="AQ29" i="6"/>
  <c r="Q29" i="6" s="1"/>
  <c r="AR29" i="6"/>
  <c r="R29" i="6" s="1"/>
  <c r="AS29" i="6"/>
  <c r="S29" i="6" s="1"/>
  <c r="AT29" i="6"/>
  <c r="AU29" i="6"/>
  <c r="AY29" i="6"/>
  <c r="AZ29" i="6"/>
  <c r="AK30" i="6"/>
  <c r="U30" i="6"/>
  <c r="AB30" i="6"/>
  <c r="AC30" i="6"/>
  <c r="AE30" i="6"/>
  <c r="AI30" i="6"/>
  <c r="AJ30" i="6"/>
  <c r="AM30" i="6"/>
  <c r="AN30" i="6"/>
  <c r="AO30" i="6"/>
  <c r="AP30" i="6"/>
  <c r="T30" i="6" s="1"/>
  <c r="AQ30" i="6"/>
  <c r="Q30" i="6" s="1"/>
  <c r="AR30" i="6"/>
  <c r="R30" i="6" s="1"/>
  <c r="AS30" i="6"/>
  <c r="S30" i="6" s="1"/>
  <c r="AT30" i="6"/>
  <c r="AU30" i="6"/>
  <c r="AY30" i="6"/>
  <c r="AZ30" i="6"/>
  <c r="U31" i="6"/>
  <c r="AK31" i="6"/>
  <c r="AB31" i="6"/>
  <c r="AC31" i="6"/>
  <c r="AE31" i="6"/>
  <c r="AI31" i="6"/>
  <c r="AJ31" i="6"/>
  <c r="L31" i="6" s="1"/>
  <c r="AM31" i="6"/>
  <c r="AN31" i="6"/>
  <c r="AO31" i="6"/>
  <c r="AP31" i="6"/>
  <c r="T31" i="6" s="1"/>
  <c r="AQ31" i="6"/>
  <c r="Q31" i="6" s="1"/>
  <c r="AR31" i="6"/>
  <c r="R31" i="6" s="1"/>
  <c r="AS31" i="6"/>
  <c r="S31" i="6" s="1"/>
  <c r="AT31" i="6"/>
  <c r="AU31" i="6"/>
  <c r="AY31" i="6"/>
  <c r="AZ31" i="6"/>
  <c r="U32" i="6"/>
  <c r="AK32" i="6"/>
  <c r="AB32" i="6"/>
  <c r="AC32" i="6"/>
  <c r="AE32" i="6"/>
  <c r="AI32" i="6"/>
  <c r="AJ32" i="6"/>
  <c r="AM32" i="6"/>
  <c r="AN32" i="6"/>
  <c r="AO32" i="6"/>
  <c r="AP32" i="6"/>
  <c r="T32" i="6" s="1"/>
  <c r="AQ32" i="6"/>
  <c r="Q32" i="6" s="1"/>
  <c r="AR32" i="6"/>
  <c r="R32" i="6" s="1"/>
  <c r="AS32" i="6"/>
  <c r="S32" i="6" s="1"/>
  <c r="AT32" i="6"/>
  <c r="AU32" i="6"/>
  <c r="AY32" i="6"/>
  <c r="AZ32" i="6"/>
  <c r="U33" i="6"/>
  <c r="AK33" i="6"/>
  <c r="AB33" i="6"/>
  <c r="AC33" i="6"/>
  <c r="AE33" i="6"/>
  <c r="AI33" i="6"/>
  <c r="AJ33" i="6"/>
  <c r="AM33" i="6"/>
  <c r="AN33" i="6"/>
  <c r="AO33" i="6"/>
  <c r="AP33" i="6"/>
  <c r="T33" i="6" s="1"/>
  <c r="AQ33" i="6"/>
  <c r="AR33" i="6"/>
  <c r="R33" i="6" s="1"/>
  <c r="AS33" i="6"/>
  <c r="S33" i="6" s="1"/>
  <c r="AT33" i="6"/>
  <c r="AU33" i="6"/>
  <c r="AY33" i="6"/>
  <c r="AZ33" i="6"/>
  <c r="U34" i="6"/>
  <c r="AB34" i="6"/>
  <c r="AC34" i="6"/>
  <c r="AE34" i="6"/>
  <c r="AI34" i="6"/>
  <c r="AJ34" i="6"/>
  <c r="AK34" i="6"/>
  <c r="AM34" i="6"/>
  <c r="AN34" i="6"/>
  <c r="AO34" i="6"/>
  <c r="AP34" i="6"/>
  <c r="T34" i="6" s="1"/>
  <c r="AQ34" i="6"/>
  <c r="Q34" i="6" s="1"/>
  <c r="AR34" i="6"/>
  <c r="R34" i="6" s="1"/>
  <c r="AS34" i="6"/>
  <c r="S34" i="6" s="1"/>
  <c r="AT34" i="6"/>
  <c r="AU34" i="6"/>
  <c r="AY34" i="6"/>
  <c r="AZ34" i="6"/>
  <c r="U35" i="6"/>
  <c r="AB35" i="6"/>
  <c r="AC35" i="6"/>
  <c r="AE35" i="6"/>
  <c r="AI35" i="6"/>
  <c r="AJ35" i="6"/>
  <c r="AM35" i="6"/>
  <c r="AN35" i="6"/>
  <c r="AO35" i="6"/>
  <c r="AP35" i="6"/>
  <c r="T35" i="6" s="1"/>
  <c r="AQ35" i="6"/>
  <c r="Q35" i="6" s="1"/>
  <c r="AR35" i="6"/>
  <c r="R35" i="6" s="1"/>
  <c r="AS35" i="6"/>
  <c r="S35" i="6" s="1"/>
  <c r="AT35" i="6"/>
  <c r="AU35" i="6"/>
  <c r="AY35" i="6"/>
  <c r="AZ35" i="6"/>
  <c r="U36" i="6"/>
  <c r="AB36" i="6"/>
  <c r="AC36" i="6"/>
  <c r="AE36" i="6"/>
  <c r="AI36" i="6"/>
  <c r="AJ36" i="6"/>
  <c r="AM36" i="6"/>
  <c r="AN36" i="6"/>
  <c r="AO36" i="6"/>
  <c r="AP36" i="6"/>
  <c r="T36" i="6" s="1"/>
  <c r="AQ36" i="6"/>
  <c r="Q36" i="6" s="1"/>
  <c r="AR36" i="6"/>
  <c r="R36" i="6" s="1"/>
  <c r="AS36" i="6"/>
  <c r="S36" i="6" s="1"/>
  <c r="AT36" i="6"/>
  <c r="AU36" i="6"/>
  <c r="AY36" i="6"/>
  <c r="AZ36" i="6"/>
  <c r="AZ37" i="6"/>
  <c r="AZ38" i="6"/>
  <c r="AA39" i="6"/>
  <c r="AZ39" i="6"/>
  <c r="AZ40" i="6"/>
  <c r="W41" i="6"/>
  <c r="AH41" i="6"/>
  <c r="AZ41" i="6"/>
  <c r="M42" i="6"/>
  <c r="W42" i="6"/>
  <c r="AZ42" i="6"/>
  <c r="AZ43" i="6"/>
  <c r="W45" i="6"/>
  <c r="W46" i="6"/>
  <c r="W47" i="6"/>
  <c r="W48" i="6"/>
  <c r="W49" i="6"/>
  <c r="W50" i="6"/>
  <c r="M51" i="6"/>
  <c r="U51" i="6" s="1"/>
  <c r="W51" i="6"/>
  <c r="W52" i="6"/>
  <c r="W53" i="6"/>
  <c r="W54" i="6"/>
  <c r="AE54" i="6"/>
  <c r="AF54" i="6" s="1"/>
  <c r="AH54" i="6" s="1"/>
  <c r="M52" i="6" s="1"/>
  <c r="W55" i="6"/>
  <c r="AE55" i="6"/>
  <c r="AF55" i="6" s="1"/>
  <c r="AH55" i="6" s="1"/>
  <c r="M53" i="6" s="1"/>
  <c r="AF2" i="14"/>
  <c r="M4" i="14"/>
  <c r="U7" i="14"/>
  <c r="AB7" i="14"/>
  <c r="AC7" i="14"/>
  <c r="AE7" i="14"/>
  <c r="AI7" i="14"/>
  <c r="AJ7" i="14"/>
  <c r="AM7" i="14"/>
  <c r="AN7" i="14"/>
  <c r="AO7" i="14"/>
  <c r="AP7" i="14"/>
  <c r="T7" i="14" s="1"/>
  <c r="AQ7" i="14"/>
  <c r="Q7" i="14" s="1"/>
  <c r="AR7" i="14"/>
  <c r="R7" i="14" s="1"/>
  <c r="AS7" i="14"/>
  <c r="S7" i="14" s="1"/>
  <c r="AT7" i="14"/>
  <c r="AU7" i="14"/>
  <c r="AY7" i="14"/>
  <c r="AZ7" i="14"/>
  <c r="U8" i="14"/>
  <c r="AB8" i="14"/>
  <c r="AC8" i="14"/>
  <c r="AE8" i="14"/>
  <c r="AG8" i="14" s="1"/>
  <c r="X8" i="14" s="1"/>
  <c r="AI8" i="14"/>
  <c r="AJ8" i="14"/>
  <c r="AM8" i="14"/>
  <c r="AN8" i="14"/>
  <c r="AO8" i="14"/>
  <c r="AP8" i="14"/>
  <c r="T8" i="14" s="1"/>
  <c r="AQ8" i="14"/>
  <c r="Q8" i="14" s="1"/>
  <c r="AR8" i="14"/>
  <c r="R8" i="14" s="1"/>
  <c r="AS8" i="14"/>
  <c r="S8" i="14" s="1"/>
  <c r="AT8" i="14"/>
  <c r="AU8" i="14"/>
  <c r="AY8" i="14"/>
  <c r="AZ8" i="14"/>
  <c r="U9" i="14"/>
  <c r="AB9" i="14"/>
  <c r="AC9" i="14"/>
  <c r="AE9" i="14"/>
  <c r="AI9" i="14"/>
  <c r="AJ9" i="14"/>
  <c r="AM9" i="14"/>
  <c r="AN9" i="14"/>
  <c r="AO9" i="14"/>
  <c r="AP9" i="14"/>
  <c r="T9" i="14" s="1"/>
  <c r="AQ9" i="14"/>
  <c r="Q9" i="14" s="1"/>
  <c r="AR9" i="14"/>
  <c r="R9" i="14" s="1"/>
  <c r="AS9" i="14"/>
  <c r="S9" i="14" s="1"/>
  <c r="AT9" i="14"/>
  <c r="AU9" i="14"/>
  <c r="AY9" i="14"/>
  <c r="AZ9" i="14"/>
  <c r="U10" i="14"/>
  <c r="AK10" i="14"/>
  <c r="AB10" i="14"/>
  <c r="AC10" i="14"/>
  <c r="AE10" i="14"/>
  <c r="AI10" i="14"/>
  <c r="AJ10" i="14"/>
  <c r="AM10" i="14"/>
  <c r="AN10" i="14"/>
  <c r="AO10" i="14"/>
  <c r="AP10" i="14"/>
  <c r="T10" i="14" s="1"/>
  <c r="AQ10" i="14"/>
  <c r="Q10" i="14" s="1"/>
  <c r="AR10" i="14"/>
  <c r="R10" i="14" s="1"/>
  <c r="AS10" i="14"/>
  <c r="S10" i="14" s="1"/>
  <c r="AT10" i="14"/>
  <c r="AU10" i="14"/>
  <c r="AY10" i="14"/>
  <c r="AZ10" i="14"/>
  <c r="U11" i="14"/>
  <c r="AB11" i="14"/>
  <c r="AC11" i="14"/>
  <c r="AE11" i="14"/>
  <c r="AI11" i="14"/>
  <c r="AJ11" i="14"/>
  <c r="L11" i="14" s="1"/>
  <c r="AK11" i="14"/>
  <c r="AM11" i="14"/>
  <c r="AN11" i="14"/>
  <c r="AO11" i="14"/>
  <c r="AP11" i="14"/>
  <c r="T11" i="14" s="1"/>
  <c r="AQ11" i="14"/>
  <c r="Q11" i="14" s="1"/>
  <c r="AR11" i="14"/>
  <c r="R11" i="14" s="1"/>
  <c r="AS11" i="14"/>
  <c r="S11" i="14" s="1"/>
  <c r="AT11" i="14"/>
  <c r="AU11" i="14"/>
  <c r="AY11" i="14"/>
  <c r="AZ11" i="14"/>
  <c r="U12" i="14"/>
  <c r="AB12" i="14"/>
  <c r="AC12" i="14"/>
  <c r="AE12" i="14"/>
  <c r="AI12" i="14"/>
  <c r="AJ12" i="14"/>
  <c r="AK12" i="14"/>
  <c r="AM12" i="14"/>
  <c r="AN12" i="14"/>
  <c r="AO12" i="14"/>
  <c r="L12" i="14" s="1"/>
  <c r="AP12" i="14"/>
  <c r="T12" i="14" s="1"/>
  <c r="AQ12" i="14"/>
  <c r="Q12" i="14" s="1"/>
  <c r="AR12" i="14"/>
  <c r="R12" i="14" s="1"/>
  <c r="AS12" i="14"/>
  <c r="S12" i="14" s="1"/>
  <c r="AT12" i="14"/>
  <c r="AU12" i="14"/>
  <c r="AY12" i="14"/>
  <c r="AZ12" i="14"/>
  <c r="U13" i="14"/>
  <c r="AB13" i="14"/>
  <c r="AC13" i="14"/>
  <c r="AE13" i="14"/>
  <c r="AI13" i="14"/>
  <c r="AJ13" i="14"/>
  <c r="AM13" i="14"/>
  <c r="AN13" i="14"/>
  <c r="AO13" i="14"/>
  <c r="AP13" i="14"/>
  <c r="T13" i="14" s="1"/>
  <c r="AQ13" i="14"/>
  <c r="Q13" i="14" s="1"/>
  <c r="AR13" i="14"/>
  <c r="R13" i="14" s="1"/>
  <c r="AS13" i="14"/>
  <c r="S13" i="14" s="1"/>
  <c r="AT13" i="14"/>
  <c r="AU13" i="14"/>
  <c r="AY13" i="14"/>
  <c r="U14" i="14"/>
  <c r="AB14" i="14"/>
  <c r="AC14" i="14"/>
  <c r="AE14" i="14"/>
  <c r="AI14" i="14"/>
  <c r="AJ14" i="14"/>
  <c r="AM14" i="14"/>
  <c r="AN14" i="14"/>
  <c r="AO14" i="14"/>
  <c r="AP14" i="14"/>
  <c r="T14" i="14" s="1"/>
  <c r="AQ14" i="14"/>
  <c r="Q14" i="14" s="1"/>
  <c r="AR14" i="14"/>
  <c r="R14" i="14" s="1"/>
  <c r="AS14" i="14"/>
  <c r="S14" i="14" s="1"/>
  <c r="AT14" i="14"/>
  <c r="AU14" i="14"/>
  <c r="AY14" i="14"/>
  <c r="U15" i="14"/>
  <c r="AB15" i="14"/>
  <c r="AC15" i="14"/>
  <c r="AE15" i="14"/>
  <c r="AI15" i="14"/>
  <c r="AJ15" i="14"/>
  <c r="AM15" i="14"/>
  <c r="AN15" i="14"/>
  <c r="AO15" i="14"/>
  <c r="AP15" i="14"/>
  <c r="T15" i="14" s="1"/>
  <c r="AQ15" i="14"/>
  <c r="Q15" i="14" s="1"/>
  <c r="AR15" i="14"/>
  <c r="R15" i="14" s="1"/>
  <c r="AS15" i="14"/>
  <c r="S15" i="14" s="1"/>
  <c r="AT15" i="14"/>
  <c r="AU15" i="14"/>
  <c r="AY15" i="14"/>
  <c r="AZ15" i="14"/>
  <c r="U16" i="14"/>
  <c r="AB16" i="14"/>
  <c r="AC16" i="14"/>
  <c r="AE16" i="14"/>
  <c r="AI16" i="14"/>
  <c r="AJ16" i="14"/>
  <c r="AM16" i="14"/>
  <c r="AN16" i="14"/>
  <c r="AO16" i="14"/>
  <c r="AP16" i="14"/>
  <c r="T16" i="14" s="1"/>
  <c r="AQ16" i="14"/>
  <c r="Q16" i="14" s="1"/>
  <c r="AR16" i="14"/>
  <c r="R16" i="14" s="1"/>
  <c r="AS16" i="14"/>
  <c r="S16" i="14" s="1"/>
  <c r="AT16" i="14"/>
  <c r="AU16" i="14"/>
  <c r="AY16" i="14"/>
  <c r="AZ16" i="14"/>
  <c r="U17" i="14"/>
  <c r="AB17" i="14"/>
  <c r="AC17" i="14"/>
  <c r="AE17" i="14"/>
  <c r="AI17" i="14"/>
  <c r="AJ17" i="14"/>
  <c r="AM17" i="14"/>
  <c r="AN17" i="14"/>
  <c r="AO17" i="14"/>
  <c r="AP17" i="14"/>
  <c r="T17" i="14" s="1"/>
  <c r="AQ17" i="14"/>
  <c r="Q17" i="14" s="1"/>
  <c r="AR17" i="14"/>
  <c r="R17" i="14" s="1"/>
  <c r="AS17" i="14"/>
  <c r="S17" i="14" s="1"/>
  <c r="AT17" i="14"/>
  <c r="AU17" i="14"/>
  <c r="AY17" i="14"/>
  <c r="AZ17" i="14"/>
  <c r="U18" i="14"/>
  <c r="AK18" i="14"/>
  <c r="AB18" i="14"/>
  <c r="AD18" i="14" s="1"/>
  <c r="AH18" i="14" s="1"/>
  <c r="AC18" i="14"/>
  <c r="AE18" i="14"/>
  <c r="AI18" i="14"/>
  <c r="AJ18" i="14"/>
  <c r="L18" i="14" s="1"/>
  <c r="AM18" i="14"/>
  <c r="AN18" i="14"/>
  <c r="AO18" i="14"/>
  <c r="AP18" i="14"/>
  <c r="T18" i="14" s="1"/>
  <c r="AQ18" i="14"/>
  <c r="Q18" i="14" s="1"/>
  <c r="AR18" i="14"/>
  <c r="R18" i="14" s="1"/>
  <c r="AS18" i="14"/>
  <c r="S18" i="14" s="1"/>
  <c r="AT18" i="14"/>
  <c r="AU18" i="14"/>
  <c r="AY18" i="14"/>
  <c r="AZ18" i="14"/>
  <c r="U19" i="14"/>
  <c r="AK19" i="14"/>
  <c r="AB19" i="14"/>
  <c r="AC19" i="14"/>
  <c r="AE19" i="14"/>
  <c r="AI19" i="14"/>
  <c r="AJ19" i="14"/>
  <c r="AM19" i="14"/>
  <c r="AN19" i="14"/>
  <c r="AO19" i="14"/>
  <c r="AP19" i="14"/>
  <c r="T19" i="14" s="1"/>
  <c r="AQ19" i="14"/>
  <c r="Q19" i="14" s="1"/>
  <c r="AR19" i="14"/>
  <c r="R19" i="14" s="1"/>
  <c r="AS19" i="14"/>
  <c r="S19" i="14" s="1"/>
  <c r="AT19" i="14"/>
  <c r="AU19" i="14"/>
  <c r="AY19" i="14"/>
  <c r="AZ19" i="14"/>
  <c r="U20" i="14"/>
  <c r="AB20" i="14"/>
  <c r="AD20" i="14" s="1"/>
  <c r="AH20" i="14" s="1"/>
  <c r="AC20" i="14"/>
  <c r="AE20" i="14"/>
  <c r="AI20" i="14"/>
  <c r="AJ20" i="14"/>
  <c r="AM20" i="14"/>
  <c r="AN20" i="14"/>
  <c r="AO20" i="14"/>
  <c r="AP20" i="14"/>
  <c r="T20" i="14" s="1"/>
  <c r="AQ20" i="14"/>
  <c r="Q20" i="14" s="1"/>
  <c r="AR20" i="14"/>
  <c r="R20" i="14" s="1"/>
  <c r="AS20" i="14"/>
  <c r="S20" i="14" s="1"/>
  <c r="AT20" i="14"/>
  <c r="AU20" i="14"/>
  <c r="AY20" i="14"/>
  <c r="AZ20" i="14"/>
  <c r="U21" i="14"/>
  <c r="AB21" i="14"/>
  <c r="AC21" i="14"/>
  <c r="AE21" i="14"/>
  <c r="AG21" i="14" s="1"/>
  <c r="X21" i="14" s="1"/>
  <c r="AI21" i="14"/>
  <c r="AJ21" i="14"/>
  <c r="AM21" i="14"/>
  <c r="AN21" i="14"/>
  <c r="AO21" i="14"/>
  <c r="AP21" i="14"/>
  <c r="T21" i="14" s="1"/>
  <c r="AQ21" i="14"/>
  <c r="Q21" i="14" s="1"/>
  <c r="AR21" i="14"/>
  <c r="R21" i="14" s="1"/>
  <c r="AS21" i="14"/>
  <c r="S21" i="14" s="1"/>
  <c r="AT21" i="14"/>
  <c r="AU21" i="14"/>
  <c r="AY21" i="14"/>
  <c r="U22" i="14"/>
  <c r="AB22" i="14"/>
  <c r="AC22" i="14"/>
  <c r="AE22" i="14"/>
  <c r="AI22" i="14"/>
  <c r="AJ22" i="14"/>
  <c r="AM22" i="14"/>
  <c r="AN22" i="14"/>
  <c r="AO22" i="14"/>
  <c r="AP22" i="14"/>
  <c r="T22" i="14" s="1"/>
  <c r="AQ22" i="14"/>
  <c r="Q22" i="14" s="1"/>
  <c r="AR22" i="14"/>
  <c r="R22" i="14" s="1"/>
  <c r="AS22" i="14"/>
  <c r="S22" i="14" s="1"/>
  <c r="AT22" i="14"/>
  <c r="AU22" i="14"/>
  <c r="AY22" i="14"/>
  <c r="AZ22" i="14"/>
  <c r="U23" i="14"/>
  <c r="AB23" i="14"/>
  <c r="AC23" i="14"/>
  <c r="AE23" i="14"/>
  <c r="AI23" i="14"/>
  <c r="AJ23" i="14"/>
  <c r="AM23" i="14"/>
  <c r="AN23" i="14"/>
  <c r="AO23" i="14"/>
  <c r="AP23" i="14"/>
  <c r="T23" i="14" s="1"/>
  <c r="AQ23" i="14"/>
  <c r="Q23" i="14" s="1"/>
  <c r="AR23" i="14"/>
  <c r="R23" i="14" s="1"/>
  <c r="AS23" i="14"/>
  <c r="S23" i="14" s="1"/>
  <c r="AT23" i="14"/>
  <c r="AU23" i="14"/>
  <c r="AY23" i="14"/>
  <c r="U24" i="14"/>
  <c r="AB24" i="14"/>
  <c r="AC24" i="14"/>
  <c r="AE24" i="14"/>
  <c r="AI24" i="14"/>
  <c r="AJ24" i="14"/>
  <c r="AM24" i="14"/>
  <c r="AN24" i="14"/>
  <c r="AO24" i="14"/>
  <c r="AP24" i="14"/>
  <c r="T24" i="14" s="1"/>
  <c r="AQ24" i="14"/>
  <c r="Q24" i="14" s="1"/>
  <c r="AR24" i="14"/>
  <c r="R24" i="14" s="1"/>
  <c r="AS24" i="14"/>
  <c r="S24" i="14" s="1"/>
  <c r="AT24" i="14"/>
  <c r="AU24" i="14"/>
  <c r="AY24" i="14"/>
  <c r="AZ24" i="14"/>
  <c r="T25" i="14"/>
  <c r="U25" i="14"/>
  <c r="AB25" i="14"/>
  <c r="AD25" i="14" s="1"/>
  <c r="AH25" i="14" s="1"/>
  <c r="AC25" i="14"/>
  <c r="AE25" i="14"/>
  <c r="AI25" i="14"/>
  <c r="AJ25" i="14"/>
  <c r="L25" i="14" s="1"/>
  <c r="AK25" i="14"/>
  <c r="AM25" i="14"/>
  <c r="AN25" i="14"/>
  <c r="AO25" i="14"/>
  <c r="AP25" i="14"/>
  <c r="AQ25" i="14"/>
  <c r="Q25" i="14" s="1"/>
  <c r="AR25" i="14"/>
  <c r="R25" i="14" s="1"/>
  <c r="AS25" i="14"/>
  <c r="S25" i="14" s="1"/>
  <c r="AT25" i="14"/>
  <c r="AU25" i="14"/>
  <c r="AY25" i="14"/>
  <c r="AZ25" i="14"/>
  <c r="U26" i="14"/>
  <c r="AK26" i="14"/>
  <c r="AB26" i="14"/>
  <c r="AC26" i="14"/>
  <c r="AE26" i="14"/>
  <c r="AI26" i="14"/>
  <c r="AJ26" i="14"/>
  <c r="AM26" i="14"/>
  <c r="AN26" i="14"/>
  <c r="AO26" i="14"/>
  <c r="AP26" i="14"/>
  <c r="T26" i="14" s="1"/>
  <c r="AQ26" i="14"/>
  <c r="Q26" i="14" s="1"/>
  <c r="AR26" i="14"/>
  <c r="R26" i="14" s="1"/>
  <c r="AS26" i="14"/>
  <c r="S26" i="14" s="1"/>
  <c r="AT26" i="14"/>
  <c r="AU26" i="14"/>
  <c r="AY26" i="14"/>
  <c r="AZ26" i="14"/>
  <c r="U27" i="14"/>
  <c r="AB27" i="14"/>
  <c r="AC27" i="14"/>
  <c r="AE27" i="14"/>
  <c r="AG27" i="14" s="1"/>
  <c r="X27" i="14" s="1"/>
  <c r="AI27" i="14"/>
  <c r="AJ27" i="14"/>
  <c r="AM27" i="14"/>
  <c r="AN27" i="14"/>
  <c r="AO27" i="14"/>
  <c r="AP27" i="14"/>
  <c r="T27" i="14" s="1"/>
  <c r="AQ27" i="14"/>
  <c r="Q27" i="14" s="1"/>
  <c r="AR27" i="14"/>
  <c r="R27" i="14" s="1"/>
  <c r="AS27" i="14"/>
  <c r="S27" i="14" s="1"/>
  <c r="AT27" i="14"/>
  <c r="AU27" i="14"/>
  <c r="AY27" i="14"/>
  <c r="AZ27" i="14"/>
  <c r="U28" i="14"/>
  <c r="AB28" i="14"/>
  <c r="AC28" i="14"/>
  <c r="AE28" i="14"/>
  <c r="AI28" i="14"/>
  <c r="AJ28" i="14"/>
  <c r="AM28" i="14"/>
  <c r="AN28" i="14"/>
  <c r="AO28" i="14"/>
  <c r="AP28" i="14"/>
  <c r="T28" i="14" s="1"/>
  <c r="AQ28" i="14"/>
  <c r="Q28" i="14" s="1"/>
  <c r="AR28" i="14"/>
  <c r="R28" i="14" s="1"/>
  <c r="AS28" i="14"/>
  <c r="S28" i="14" s="1"/>
  <c r="AT28" i="14"/>
  <c r="AU28" i="14"/>
  <c r="AY28" i="14"/>
  <c r="AZ28" i="14"/>
  <c r="U29" i="14"/>
  <c r="AB29" i="14"/>
  <c r="AC29" i="14"/>
  <c r="AE29" i="14"/>
  <c r="AI29" i="14"/>
  <c r="AJ29" i="14"/>
  <c r="AM29" i="14"/>
  <c r="AN29" i="14"/>
  <c r="AO29" i="14"/>
  <c r="AP29" i="14"/>
  <c r="T29" i="14" s="1"/>
  <c r="AQ29" i="14"/>
  <c r="Q29" i="14" s="1"/>
  <c r="AR29" i="14"/>
  <c r="R29" i="14" s="1"/>
  <c r="AS29" i="14"/>
  <c r="S29" i="14" s="1"/>
  <c r="AT29" i="14"/>
  <c r="AU29" i="14"/>
  <c r="AY29" i="14"/>
  <c r="AZ29" i="14"/>
  <c r="R30" i="14"/>
  <c r="U30" i="14"/>
  <c r="AB30" i="14"/>
  <c r="AF30" i="14" s="1"/>
  <c r="W30" i="14" s="1"/>
  <c r="AC30" i="14"/>
  <c r="AE30" i="14"/>
  <c r="AI30" i="14"/>
  <c r="AJ30" i="14"/>
  <c r="AM30" i="14"/>
  <c r="AN30" i="14"/>
  <c r="AO30" i="14"/>
  <c r="AP30" i="14"/>
  <c r="T30" i="14" s="1"/>
  <c r="AQ30" i="14"/>
  <c r="Q30" i="14" s="1"/>
  <c r="AR30" i="14"/>
  <c r="AS30" i="14"/>
  <c r="S30" i="14" s="1"/>
  <c r="AT30" i="14"/>
  <c r="AU30" i="14"/>
  <c r="AY30" i="14"/>
  <c r="AZ30" i="14"/>
  <c r="U31" i="14"/>
  <c r="AB31" i="14"/>
  <c r="AC31" i="14"/>
  <c r="AE31" i="14"/>
  <c r="AI31" i="14"/>
  <c r="AJ31" i="14"/>
  <c r="AM31" i="14"/>
  <c r="AN31" i="14"/>
  <c r="AO31" i="14"/>
  <c r="AP31" i="14"/>
  <c r="T31" i="14" s="1"/>
  <c r="AQ31" i="14"/>
  <c r="Q31" i="14" s="1"/>
  <c r="AR31" i="14"/>
  <c r="R31" i="14" s="1"/>
  <c r="AS31" i="14"/>
  <c r="S31" i="14" s="1"/>
  <c r="AT31" i="14"/>
  <c r="AU31" i="14"/>
  <c r="AY31" i="14"/>
  <c r="AZ31" i="14"/>
  <c r="U32" i="14"/>
  <c r="AB32" i="14"/>
  <c r="AC32" i="14"/>
  <c r="AE32" i="14"/>
  <c r="AI32" i="14"/>
  <c r="AJ32" i="14"/>
  <c r="L32" i="14" s="1"/>
  <c r="AM32" i="14"/>
  <c r="AN32" i="14"/>
  <c r="AO32" i="14"/>
  <c r="AP32" i="14"/>
  <c r="T32" i="14" s="1"/>
  <c r="AQ32" i="14"/>
  <c r="Q32" i="14" s="1"/>
  <c r="AR32" i="14"/>
  <c r="R32" i="14" s="1"/>
  <c r="AS32" i="14"/>
  <c r="S32" i="14" s="1"/>
  <c r="AT32" i="14"/>
  <c r="AU32" i="14"/>
  <c r="AY32" i="14"/>
  <c r="AZ32" i="14"/>
  <c r="U33" i="14"/>
  <c r="AK33" i="14"/>
  <c r="AB33" i="14"/>
  <c r="AC33" i="14"/>
  <c r="AE33" i="14"/>
  <c r="AI33" i="14"/>
  <c r="AJ33" i="14"/>
  <c r="AM33" i="14"/>
  <c r="AN33" i="14"/>
  <c r="AO33" i="14"/>
  <c r="AP33" i="14"/>
  <c r="T33" i="14" s="1"/>
  <c r="AQ33" i="14"/>
  <c r="Q33" i="14" s="1"/>
  <c r="AR33" i="14"/>
  <c r="R33" i="14" s="1"/>
  <c r="AS33" i="14"/>
  <c r="S33" i="14" s="1"/>
  <c r="AT33" i="14"/>
  <c r="AU33" i="14"/>
  <c r="AY33" i="14"/>
  <c r="AZ33" i="14"/>
  <c r="R34" i="14"/>
  <c r="U34" i="14"/>
  <c r="AB34" i="14"/>
  <c r="AF34" i="14" s="1"/>
  <c r="W34" i="14" s="1"/>
  <c r="AC34" i="14"/>
  <c r="AE34" i="14"/>
  <c r="AI34" i="14"/>
  <c r="AJ34" i="14"/>
  <c r="AM34" i="14"/>
  <c r="AN34" i="14"/>
  <c r="AO34" i="14"/>
  <c r="AP34" i="14"/>
  <c r="T34" i="14" s="1"/>
  <c r="AQ34" i="14"/>
  <c r="Q34" i="14" s="1"/>
  <c r="AR34" i="14"/>
  <c r="AS34" i="14"/>
  <c r="S34" i="14" s="1"/>
  <c r="AT34" i="14"/>
  <c r="AU34" i="14"/>
  <c r="AY34" i="14"/>
  <c r="AZ34" i="14"/>
  <c r="U35" i="14"/>
  <c r="AB35" i="14"/>
  <c r="AC35" i="14"/>
  <c r="AE35" i="14"/>
  <c r="AI35" i="14"/>
  <c r="AJ35" i="14"/>
  <c r="AM35" i="14"/>
  <c r="AN35" i="14"/>
  <c r="AO35" i="14"/>
  <c r="AP35" i="14"/>
  <c r="T35" i="14" s="1"/>
  <c r="AQ35" i="14"/>
  <c r="Q35" i="14" s="1"/>
  <c r="AR35" i="14"/>
  <c r="R35" i="14" s="1"/>
  <c r="AS35" i="14"/>
  <c r="S35" i="14" s="1"/>
  <c r="AT35" i="14"/>
  <c r="AU35" i="14"/>
  <c r="AY35" i="14"/>
  <c r="AZ35" i="14"/>
  <c r="U36" i="14"/>
  <c r="AB36" i="14"/>
  <c r="AC36" i="14"/>
  <c r="AE36" i="14"/>
  <c r="AI36" i="14"/>
  <c r="AJ36" i="14"/>
  <c r="AM36" i="14"/>
  <c r="AN36" i="14"/>
  <c r="AO36" i="14"/>
  <c r="AP36" i="14"/>
  <c r="T36" i="14" s="1"/>
  <c r="AQ36" i="14"/>
  <c r="Q36" i="14" s="1"/>
  <c r="AR36" i="14"/>
  <c r="R36" i="14" s="1"/>
  <c r="AS36" i="14"/>
  <c r="S36" i="14" s="1"/>
  <c r="AT36" i="14"/>
  <c r="AU36" i="14"/>
  <c r="AY36" i="14"/>
  <c r="AZ36" i="14"/>
  <c r="U37" i="14"/>
  <c r="AB37" i="14"/>
  <c r="AD37" i="14" s="1"/>
  <c r="AH37" i="14" s="1"/>
  <c r="AC37" i="14"/>
  <c r="AE37" i="14"/>
  <c r="AI37" i="14"/>
  <c r="AJ37" i="14"/>
  <c r="AM37" i="14"/>
  <c r="AN37" i="14"/>
  <c r="AO37" i="14"/>
  <c r="AP37" i="14"/>
  <c r="T37" i="14" s="1"/>
  <c r="AQ37" i="14"/>
  <c r="Q37" i="14" s="1"/>
  <c r="AR37" i="14"/>
  <c r="R37" i="14" s="1"/>
  <c r="AS37" i="14"/>
  <c r="S37" i="14" s="1"/>
  <c r="AT37" i="14"/>
  <c r="AU37" i="14"/>
  <c r="AY37" i="14"/>
  <c r="AZ37" i="14"/>
  <c r="AZ38" i="14"/>
  <c r="AZ39" i="14"/>
  <c r="AA40" i="14"/>
  <c r="AZ40" i="14"/>
  <c r="AZ41" i="14"/>
  <c r="W42" i="14"/>
  <c r="AZ42" i="14"/>
  <c r="M43" i="14"/>
  <c r="W43" i="14"/>
  <c r="AH43" i="14"/>
  <c r="AZ43" i="14"/>
  <c r="W46" i="14"/>
  <c r="W47" i="14"/>
  <c r="W48" i="14"/>
  <c r="W49" i="14"/>
  <c r="W50" i="14"/>
  <c r="W51" i="14"/>
  <c r="M52" i="14"/>
  <c r="U52" i="14" s="1"/>
  <c r="W52" i="14"/>
  <c r="W53" i="14"/>
  <c r="W54" i="14"/>
  <c r="AE54" i="14"/>
  <c r="AF54" i="14" s="1"/>
  <c r="AH54" i="14" s="1"/>
  <c r="M53" i="14" s="1"/>
  <c r="W55" i="14"/>
  <c r="AE55" i="14"/>
  <c r="AF55" i="14" s="1"/>
  <c r="AH55" i="14" s="1"/>
  <c r="M54" i="14" s="1"/>
  <c r="W56" i="14"/>
  <c r="D26" i="15"/>
  <c r="H26" i="15"/>
  <c r="D28" i="15"/>
  <c r="H28" i="15"/>
  <c r="D30" i="15"/>
  <c r="H30" i="15"/>
  <c r="D32" i="15"/>
  <c r="H32" i="15"/>
  <c r="D34" i="15"/>
  <c r="H34" i="15"/>
  <c r="D36" i="15"/>
  <c r="H36" i="15"/>
  <c r="AF2" i="4"/>
  <c r="M4" i="4"/>
  <c r="U7" i="4"/>
  <c r="AK7" i="4"/>
  <c r="AB7" i="4"/>
  <c r="AC7" i="4"/>
  <c r="AE7" i="4"/>
  <c r="AI7" i="4"/>
  <c r="AJ7" i="4"/>
  <c r="AM7" i="4"/>
  <c r="AN7" i="4"/>
  <c r="AO7" i="4"/>
  <c r="AP7" i="4"/>
  <c r="T7" i="4" s="1"/>
  <c r="AQ7" i="4"/>
  <c r="Q7" i="4" s="1"/>
  <c r="AR7" i="4"/>
  <c r="R7" i="4" s="1"/>
  <c r="AS7" i="4"/>
  <c r="S7" i="4" s="1"/>
  <c r="AT7" i="4"/>
  <c r="AU7" i="4"/>
  <c r="AY7" i="4"/>
  <c r="AZ7" i="4"/>
  <c r="U8" i="4"/>
  <c r="AK8" i="4"/>
  <c r="AB8" i="4"/>
  <c r="AC8" i="4"/>
  <c r="AE8" i="4"/>
  <c r="AI8" i="4"/>
  <c r="AJ8" i="4"/>
  <c r="AM8" i="4"/>
  <c r="AN8" i="4"/>
  <c r="AO8" i="4"/>
  <c r="AP8" i="4"/>
  <c r="T8" i="4" s="1"/>
  <c r="AQ8" i="4"/>
  <c r="Q8" i="4" s="1"/>
  <c r="AR8" i="4"/>
  <c r="R8" i="4" s="1"/>
  <c r="AS8" i="4"/>
  <c r="S8" i="4" s="1"/>
  <c r="AT8" i="4"/>
  <c r="AU8" i="4"/>
  <c r="AY8" i="4"/>
  <c r="AZ8" i="4"/>
  <c r="U9" i="4"/>
  <c r="AK9" i="4"/>
  <c r="AB9" i="4"/>
  <c r="AC9" i="4"/>
  <c r="AE9" i="4"/>
  <c r="AI9" i="4"/>
  <c r="AJ9" i="4"/>
  <c r="AM9" i="4"/>
  <c r="AN9" i="4"/>
  <c r="AO9" i="4"/>
  <c r="L9" i="4" s="1"/>
  <c r="AP9" i="4"/>
  <c r="T9" i="4" s="1"/>
  <c r="AQ9" i="4"/>
  <c r="Q9" i="4" s="1"/>
  <c r="AR9" i="4"/>
  <c r="R9" i="4" s="1"/>
  <c r="AS9" i="4"/>
  <c r="S9" i="4" s="1"/>
  <c r="AT9" i="4"/>
  <c r="AU9" i="4"/>
  <c r="AY9" i="4"/>
  <c r="AZ9" i="4"/>
  <c r="U10" i="4"/>
  <c r="AB10" i="4"/>
  <c r="AC10" i="4"/>
  <c r="AE10" i="4"/>
  <c r="AI10" i="4"/>
  <c r="AJ10" i="4"/>
  <c r="AM10" i="4"/>
  <c r="AN10" i="4"/>
  <c r="AO10" i="4"/>
  <c r="AP10" i="4"/>
  <c r="AQ10" i="4"/>
  <c r="AR10" i="4"/>
  <c r="AS10" i="4"/>
  <c r="AT10" i="4"/>
  <c r="AU10" i="4"/>
  <c r="AY10" i="4"/>
  <c r="AZ10" i="4"/>
  <c r="U11" i="4"/>
  <c r="AB11" i="4"/>
  <c r="AC11" i="4"/>
  <c r="AE11" i="4"/>
  <c r="AI11" i="4"/>
  <c r="AJ11" i="4"/>
  <c r="AM11" i="4"/>
  <c r="AN11" i="4"/>
  <c r="AO11" i="4"/>
  <c r="AP11" i="4"/>
  <c r="T11" i="4" s="1"/>
  <c r="AQ11" i="4"/>
  <c r="Q11" i="4" s="1"/>
  <c r="AR11" i="4"/>
  <c r="R11" i="4" s="1"/>
  <c r="AS11" i="4"/>
  <c r="S11" i="4" s="1"/>
  <c r="AT11" i="4"/>
  <c r="AU11" i="4"/>
  <c r="AY11" i="4"/>
  <c r="AZ11" i="4"/>
  <c r="U12" i="4"/>
  <c r="AB12" i="4"/>
  <c r="AC12" i="4"/>
  <c r="AE12" i="4"/>
  <c r="AI12" i="4"/>
  <c r="AJ12" i="4"/>
  <c r="AM12" i="4"/>
  <c r="AN12" i="4"/>
  <c r="AO12" i="4"/>
  <c r="AP12" i="4"/>
  <c r="T12" i="4" s="1"/>
  <c r="AQ12" i="4"/>
  <c r="Q12" i="4" s="1"/>
  <c r="AR12" i="4"/>
  <c r="R12" i="4" s="1"/>
  <c r="AS12" i="4"/>
  <c r="S12" i="4" s="1"/>
  <c r="AT12" i="4"/>
  <c r="AU12" i="4"/>
  <c r="AY12" i="4"/>
  <c r="AZ12" i="4"/>
  <c r="U13" i="4"/>
  <c r="AB13" i="4"/>
  <c r="AC13" i="4"/>
  <c r="AE13" i="4"/>
  <c r="AI13" i="4"/>
  <c r="AJ13" i="4"/>
  <c r="L13" i="4" s="1"/>
  <c r="AM13" i="4"/>
  <c r="AN13" i="4"/>
  <c r="AO13" i="4"/>
  <c r="AP13" i="4"/>
  <c r="T13" i="4" s="1"/>
  <c r="AQ13" i="4"/>
  <c r="Q13" i="4" s="1"/>
  <c r="AR13" i="4"/>
  <c r="R13" i="4" s="1"/>
  <c r="AS13" i="4"/>
  <c r="S13" i="4" s="1"/>
  <c r="AT13" i="4"/>
  <c r="AU13" i="4"/>
  <c r="AY13" i="4"/>
  <c r="U14" i="4"/>
  <c r="AK14" i="4"/>
  <c r="AB14" i="4"/>
  <c r="AC14" i="4"/>
  <c r="AE14" i="4"/>
  <c r="AI14" i="4"/>
  <c r="AJ14" i="4"/>
  <c r="AM14" i="4"/>
  <c r="AN14" i="4"/>
  <c r="AO14" i="4"/>
  <c r="AP14" i="4"/>
  <c r="T14" i="4" s="1"/>
  <c r="AQ14" i="4"/>
  <c r="Q14" i="4" s="1"/>
  <c r="AR14" i="4"/>
  <c r="R14" i="4" s="1"/>
  <c r="AS14" i="4"/>
  <c r="S14" i="4" s="1"/>
  <c r="AT14" i="4"/>
  <c r="AU14" i="4"/>
  <c r="AY14" i="4"/>
  <c r="U15" i="4"/>
  <c r="AK15" i="4"/>
  <c r="AB15" i="4"/>
  <c r="AC15" i="4"/>
  <c r="AE15" i="4"/>
  <c r="AI15" i="4"/>
  <c r="AJ15" i="4"/>
  <c r="AM15" i="4"/>
  <c r="AN15" i="4"/>
  <c r="AO15" i="4"/>
  <c r="AP15" i="4"/>
  <c r="T15" i="4" s="1"/>
  <c r="AQ15" i="4"/>
  <c r="Q15" i="4" s="1"/>
  <c r="AR15" i="4"/>
  <c r="R15" i="4" s="1"/>
  <c r="AS15" i="4"/>
  <c r="S15" i="4" s="1"/>
  <c r="AT15" i="4"/>
  <c r="AU15" i="4"/>
  <c r="AY15" i="4"/>
  <c r="AZ15" i="4"/>
  <c r="U16" i="4"/>
  <c r="AK16" i="4"/>
  <c r="AB16" i="4"/>
  <c r="AC16" i="4"/>
  <c r="AE16" i="4"/>
  <c r="AI16" i="4"/>
  <c r="AJ16" i="4"/>
  <c r="AM16" i="4"/>
  <c r="AN16" i="4"/>
  <c r="AO16" i="4"/>
  <c r="L16" i="4" s="1"/>
  <c r="AP16" i="4"/>
  <c r="T16" i="4" s="1"/>
  <c r="AQ16" i="4"/>
  <c r="Q16" i="4" s="1"/>
  <c r="AR16" i="4"/>
  <c r="R16" i="4" s="1"/>
  <c r="AS16" i="4"/>
  <c r="S16" i="4" s="1"/>
  <c r="AT16" i="4"/>
  <c r="AU16" i="4"/>
  <c r="AY16" i="4"/>
  <c r="AZ16" i="4"/>
  <c r="U17" i="4"/>
  <c r="AB17" i="4"/>
  <c r="AC17" i="4"/>
  <c r="AE17" i="4"/>
  <c r="AI17" i="4"/>
  <c r="AJ17" i="4"/>
  <c r="AM17" i="4"/>
  <c r="AN17" i="4"/>
  <c r="AO17" i="4"/>
  <c r="AP17" i="4"/>
  <c r="T17" i="4" s="1"/>
  <c r="AQ17" i="4"/>
  <c r="Q17" i="4" s="1"/>
  <c r="AR17" i="4"/>
  <c r="R17" i="4" s="1"/>
  <c r="AS17" i="4"/>
  <c r="S17" i="4" s="1"/>
  <c r="AT17" i="4"/>
  <c r="AU17" i="4"/>
  <c r="AY17" i="4"/>
  <c r="AZ17" i="4"/>
  <c r="U18" i="4"/>
  <c r="AB18" i="4"/>
  <c r="AC18" i="4"/>
  <c r="AE18" i="4"/>
  <c r="AI18" i="4"/>
  <c r="AJ18" i="4"/>
  <c r="AM18" i="4"/>
  <c r="AN18" i="4"/>
  <c r="AO18" i="4"/>
  <c r="AP18" i="4"/>
  <c r="T18" i="4" s="1"/>
  <c r="AQ18" i="4"/>
  <c r="Q18" i="4" s="1"/>
  <c r="AR18" i="4"/>
  <c r="R18" i="4" s="1"/>
  <c r="AS18" i="4"/>
  <c r="S18" i="4" s="1"/>
  <c r="AT18" i="4"/>
  <c r="AU18" i="4"/>
  <c r="AY18" i="4"/>
  <c r="AZ18" i="4"/>
  <c r="AK19" i="4"/>
  <c r="U19" i="4"/>
  <c r="AB19" i="4"/>
  <c r="AC19" i="4"/>
  <c r="AE19" i="4"/>
  <c r="AI19" i="4"/>
  <c r="AJ19" i="4"/>
  <c r="AM19" i="4"/>
  <c r="AN19" i="4"/>
  <c r="AO19" i="4"/>
  <c r="AP19" i="4"/>
  <c r="T19" i="4" s="1"/>
  <c r="AQ19" i="4"/>
  <c r="Q19" i="4" s="1"/>
  <c r="AR19" i="4"/>
  <c r="R19" i="4" s="1"/>
  <c r="AS19" i="4"/>
  <c r="S19" i="4" s="1"/>
  <c r="AT19" i="4"/>
  <c r="AU19" i="4"/>
  <c r="AY19" i="4"/>
  <c r="AZ19" i="4"/>
  <c r="U20" i="4"/>
  <c r="AB20" i="4"/>
  <c r="AC20" i="4"/>
  <c r="AE20" i="4"/>
  <c r="AI20" i="4"/>
  <c r="AJ20" i="4"/>
  <c r="L20" i="4" s="1"/>
  <c r="AM20" i="4"/>
  <c r="AN20" i="4"/>
  <c r="AO20" i="4"/>
  <c r="AP20" i="4"/>
  <c r="T20" i="4" s="1"/>
  <c r="AQ20" i="4"/>
  <c r="Q20" i="4" s="1"/>
  <c r="AR20" i="4"/>
  <c r="R20" i="4" s="1"/>
  <c r="AS20" i="4"/>
  <c r="S20" i="4" s="1"/>
  <c r="AT20" i="4"/>
  <c r="AU20" i="4"/>
  <c r="AY20" i="4"/>
  <c r="AZ20" i="4"/>
  <c r="U21" i="4"/>
  <c r="AK21" i="4"/>
  <c r="AB21" i="4"/>
  <c r="AC21" i="4"/>
  <c r="AE21" i="4"/>
  <c r="AI21" i="4"/>
  <c r="AJ21" i="4"/>
  <c r="AM21" i="4"/>
  <c r="AN21" i="4"/>
  <c r="AO21" i="4"/>
  <c r="AP21" i="4"/>
  <c r="AQ21" i="4"/>
  <c r="Q21" i="4" s="1"/>
  <c r="AR21" i="4"/>
  <c r="R21" i="4" s="1"/>
  <c r="AS21" i="4"/>
  <c r="S21" i="4" s="1"/>
  <c r="AT21" i="4"/>
  <c r="AU21" i="4"/>
  <c r="AY21" i="4"/>
  <c r="U22" i="4"/>
  <c r="AK22" i="4"/>
  <c r="AB22" i="4"/>
  <c r="AC22" i="4"/>
  <c r="AE22" i="4"/>
  <c r="AI22" i="4"/>
  <c r="AJ22" i="4"/>
  <c r="AM22" i="4"/>
  <c r="AN22" i="4"/>
  <c r="AO22" i="4"/>
  <c r="L22" i="4" s="1"/>
  <c r="AP22" i="4"/>
  <c r="T22" i="4" s="1"/>
  <c r="AQ22" i="4"/>
  <c r="Q22" i="4" s="1"/>
  <c r="AR22" i="4"/>
  <c r="R22" i="4" s="1"/>
  <c r="AS22" i="4"/>
  <c r="S22" i="4" s="1"/>
  <c r="AT22" i="4"/>
  <c r="AU22" i="4"/>
  <c r="AY22" i="4"/>
  <c r="AZ22" i="4"/>
  <c r="U23" i="4"/>
  <c r="AK23" i="4"/>
  <c r="AB23" i="4"/>
  <c r="AC23" i="4"/>
  <c r="AE23" i="4"/>
  <c r="AI23" i="4"/>
  <c r="AJ23" i="4"/>
  <c r="AM23" i="4"/>
  <c r="AN23" i="4"/>
  <c r="AO23" i="4"/>
  <c r="AP23" i="4"/>
  <c r="T23" i="4" s="1"/>
  <c r="AQ23" i="4"/>
  <c r="Q23" i="4" s="1"/>
  <c r="AR23" i="4"/>
  <c r="R23" i="4" s="1"/>
  <c r="AS23" i="4"/>
  <c r="S23" i="4" s="1"/>
  <c r="AT23" i="4"/>
  <c r="AU23" i="4"/>
  <c r="AY23" i="4"/>
  <c r="AZ23" i="4"/>
  <c r="U24" i="4"/>
  <c r="AB24" i="4"/>
  <c r="AC24" i="4"/>
  <c r="AE24" i="4"/>
  <c r="AI24" i="4"/>
  <c r="AJ24" i="4"/>
  <c r="AM24" i="4"/>
  <c r="AN24" i="4"/>
  <c r="AO24" i="4"/>
  <c r="AP24" i="4"/>
  <c r="T24" i="4" s="1"/>
  <c r="AQ24" i="4"/>
  <c r="Q24" i="4" s="1"/>
  <c r="AR24" i="4"/>
  <c r="R24" i="4" s="1"/>
  <c r="AS24" i="4"/>
  <c r="S24" i="4" s="1"/>
  <c r="AT24" i="4"/>
  <c r="AU24" i="4"/>
  <c r="AY24" i="4"/>
  <c r="AZ24" i="4"/>
  <c r="U25" i="4"/>
  <c r="AB25" i="4"/>
  <c r="AC25" i="4"/>
  <c r="AE25" i="4"/>
  <c r="AI25" i="4"/>
  <c r="AJ25" i="4"/>
  <c r="AM25" i="4"/>
  <c r="AN25" i="4"/>
  <c r="AO25" i="4"/>
  <c r="AP25" i="4"/>
  <c r="T25" i="4" s="1"/>
  <c r="AQ25" i="4"/>
  <c r="Q25" i="4" s="1"/>
  <c r="AR25" i="4"/>
  <c r="R25" i="4" s="1"/>
  <c r="AS25" i="4"/>
  <c r="S25" i="4" s="1"/>
  <c r="AT25" i="4"/>
  <c r="AU25" i="4"/>
  <c r="AY25" i="4"/>
  <c r="AZ25" i="4"/>
  <c r="U26" i="4"/>
  <c r="AK26" i="4"/>
  <c r="AB26" i="4"/>
  <c r="AC26" i="4"/>
  <c r="AE26" i="4"/>
  <c r="AI26" i="4"/>
  <c r="AJ26" i="4"/>
  <c r="AM26" i="4"/>
  <c r="AN26" i="4"/>
  <c r="AO26" i="4"/>
  <c r="AP26" i="4"/>
  <c r="T26" i="4" s="1"/>
  <c r="AQ26" i="4"/>
  <c r="Q26" i="4" s="1"/>
  <c r="AR26" i="4"/>
  <c r="R26" i="4" s="1"/>
  <c r="AS26" i="4"/>
  <c r="S26" i="4" s="1"/>
  <c r="AT26" i="4"/>
  <c r="AU26" i="4"/>
  <c r="AY26" i="4"/>
  <c r="AZ26" i="4"/>
  <c r="U27" i="4"/>
  <c r="AB27" i="4"/>
  <c r="AC27" i="4"/>
  <c r="AE27" i="4"/>
  <c r="AI27" i="4"/>
  <c r="AJ27" i="4"/>
  <c r="L27" i="4" s="1"/>
  <c r="AM27" i="4"/>
  <c r="AN27" i="4"/>
  <c r="AO27" i="4"/>
  <c r="AP27" i="4"/>
  <c r="T27" i="4" s="1"/>
  <c r="AQ27" i="4"/>
  <c r="Q27" i="4" s="1"/>
  <c r="AR27" i="4"/>
  <c r="R27" i="4" s="1"/>
  <c r="AS27" i="4"/>
  <c r="S27" i="4" s="1"/>
  <c r="AT27" i="4"/>
  <c r="AU27" i="4"/>
  <c r="AY27" i="4"/>
  <c r="AZ27" i="4"/>
  <c r="U28" i="4"/>
  <c r="AK28" i="4"/>
  <c r="AB28" i="4"/>
  <c r="AC28" i="4"/>
  <c r="AE28" i="4"/>
  <c r="AI28" i="4"/>
  <c r="AJ28" i="4"/>
  <c r="AM28" i="4"/>
  <c r="AN28" i="4"/>
  <c r="AO28" i="4"/>
  <c r="AP28" i="4"/>
  <c r="T28" i="4" s="1"/>
  <c r="AQ28" i="4"/>
  <c r="Q28" i="4" s="1"/>
  <c r="AR28" i="4"/>
  <c r="R28" i="4" s="1"/>
  <c r="AS28" i="4"/>
  <c r="S28" i="4" s="1"/>
  <c r="AT28" i="4"/>
  <c r="AU28" i="4"/>
  <c r="AY28" i="4"/>
  <c r="AZ28" i="4"/>
  <c r="U29" i="4"/>
  <c r="AB29" i="4"/>
  <c r="AC29" i="4"/>
  <c r="AE29" i="4"/>
  <c r="AI29" i="4"/>
  <c r="AJ29" i="4"/>
  <c r="AK29" i="4"/>
  <c r="AM29" i="4"/>
  <c r="AN29" i="4"/>
  <c r="AO29" i="4"/>
  <c r="L29" i="4" s="1"/>
  <c r="AP29" i="4"/>
  <c r="T29" i="4" s="1"/>
  <c r="AQ29" i="4"/>
  <c r="Q29" i="4" s="1"/>
  <c r="AR29" i="4"/>
  <c r="R29" i="4" s="1"/>
  <c r="AS29" i="4"/>
  <c r="S29" i="4" s="1"/>
  <c r="AT29" i="4"/>
  <c r="AU29" i="4"/>
  <c r="AY29" i="4"/>
  <c r="AZ29" i="4"/>
  <c r="U30" i="4"/>
  <c r="AK30" i="4"/>
  <c r="AB30" i="4"/>
  <c r="AC30" i="4"/>
  <c r="AE30" i="4"/>
  <c r="AI30" i="4"/>
  <c r="AJ30" i="4"/>
  <c r="AM30" i="4"/>
  <c r="AN30" i="4"/>
  <c r="AO30" i="4"/>
  <c r="AP30" i="4"/>
  <c r="T30" i="4" s="1"/>
  <c r="AQ30" i="4"/>
  <c r="Q30" i="4" s="1"/>
  <c r="AR30" i="4"/>
  <c r="R30" i="4" s="1"/>
  <c r="AS30" i="4"/>
  <c r="S30" i="4" s="1"/>
  <c r="AT30" i="4"/>
  <c r="AU30" i="4"/>
  <c r="AY30" i="4"/>
  <c r="AZ30" i="4"/>
  <c r="U31" i="4"/>
  <c r="AB31" i="4"/>
  <c r="AC31" i="4"/>
  <c r="AE31" i="4"/>
  <c r="AI31" i="4"/>
  <c r="AJ31" i="4"/>
  <c r="AM31" i="4"/>
  <c r="AN31" i="4"/>
  <c r="AO31" i="4"/>
  <c r="AP31" i="4"/>
  <c r="T31" i="4" s="1"/>
  <c r="AQ31" i="4"/>
  <c r="Q31" i="4" s="1"/>
  <c r="AR31" i="4"/>
  <c r="R31" i="4" s="1"/>
  <c r="AS31" i="4"/>
  <c r="AT31" i="4"/>
  <c r="AU31" i="4"/>
  <c r="AY31" i="4"/>
  <c r="AZ31" i="4"/>
  <c r="U32" i="4"/>
  <c r="AB32" i="4"/>
  <c r="AC32" i="4"/>
  <c r="AE32" i="4"/>
  <c r="AI32" i="4"/>
  <c r="AJ32" i="4"/>
  <c r="AM32" i="4"/>
  <c r="AN32" i="4"/>
  <c r="AO32" i="4"/>
  <c r="AP32" i="4"/>
  <c r="T32" i="4" s="1"/>
  <c r="AQ32" i="4"/>
  <c r="AR32" i="4"/>
  <c r="R32" i="4" s="1"/>
  <c r="AS32" i="4"/>
  <c r="S32" i="4" s="1"/>
  <c r="AT32" i="4"/>
  <c r="AU32" i="4"/>
  <c r="AY32" i="4"/>
  <c r="AZ32" i="4"/>
  <c r="AK33" i="4"/>
  <c r="U33" i="4"/>
  <c r="AB33" i="4"/>
  <c r="AC33" i="4"/>
  <c r="AE33" i="4"/>
  <c r="AI33" i="4"/>
  <c r="AJ33" i="4"/>
  <c r="AM33" i="4"/>
  <c r="AN33" i="4"/>
  <c r="AO33" i="4"/>
  <c r="AP33" i="4"/>
  <c r="T33" i="4" s="1"/>
  <c r="AQ33" i="4"/>
  <c r="Q33" i="4" s="1"/>
  <c r="AR33" i="4"/>
  <c r="R33" i="4" s="1"/>
  <c r="AS33" i="4"/>
  <c r="S33" i="4" s="1"/>
  <c r="AT33" i="4"/>
  <c r="AU33" i="4"/>
  <c r="AY33" i="4"/>
  <c r="AZ33" i="4"/>
  <c r="U34" i="4"/>
  <c r="AB34" i="4"/>
  <c r="AC34" i="4"/>
  <c r="AE34" i="4"/>
  <c r="AI34" i="4"/>
  <c r="AJ34" i="4"/>
  <c r="L34" i="4" s="1"/>
  <c r="AM34" i="4"/>
  <c r="AN34" i="4"/>
  <c r="AO34" i="4"/>
  <c r="AP34" i="4"/>
  <c r="T34" i="4" s="1"/>
  <c r="AQ34" i="4"/>
  <c r="Q34" i="4" s="1"/>
  <c r="AR34" i="4"/>
  <c r="R34" i="4" s="1"/>
  <c r="AS34" i="4"/>
  <c r="S34" i="4" s="1"/>
  <c r="AT34" i="4"/>
  <c r="AU34" i="4"/>
  <c r="AY34" i="4"/>
  <c r="AZ34" i="4"/>
  <c r="AZ37" i="4"/>
  <c r="AA38" i="4"/>
  <c r="AZ38" i="4"/>
  <c r="AZ39" i="4"/>
  <c r="W40" i="4"/>
  <c r="AH40" i="4"/>
  <c r="AZ40" i="4"/>
  <c r="M41" i="4"/>
  <c r="W41" i="4"/>
  <c r="AZ41" i="4"/>
  <c r="AZ42" i="4"/>
  <c r="AZ43" i="4"/>
  <c r="W44" i="4"/>
  <c r="W45" i="4"/>
  <c r="W46" i="4"/>
  <c r="W47" i="4"/>
  <c r="W48" i="4"/>
  <c r="W49" i="4"/>
  <c r="M50" i="4"/>
  <c r="U50" i="4" s="1"/>
  <c r="W50" i="4"/>
  <c r="W51" i="4"/>
  <c r="W52" i="4"/>
  <c r="AE52" i="4"/>
  <c r="AF52" i="4" s="1"/>
  <c r="AH52" i="4" s="1"/>
  <c r="M51" i="4" s="1"/>
  <c r="W53" i="4"/>
  <c r="AE53" i="4"/>
  <c r="AF53" i="4" s="1"/>
  <c r="AH53" i="4" s="1"/>
  <c r="M52" i="4" s="1"/>
  <c r="W54" i="4"/>
  <c r="AF2" i="3"/>
  <c r="M4" i="3"/>
  <c r="U4" i="3"/>
  <c r="U4" i="4" s="1"/>
  <c r="U4" i="5" s="1"/>
  <c r="U4" i="6" s="1"/>
  <c r="U4" i="7" s="1"/>
  <c r="U4" i="8" s="1"/>
  <c r="N7" i="3"/>
  <c r="U7" i="3"/>
  <c r="AB7" i="3"/>
  <c r="AC7" i="3"/>
  <c r="AE7" i="3"/>
  <c r="AI7" i="3"/>
  <c r="AJ7" i="3"/>
  <c r="AM7" i="3"/>
  <c r="AN7" i="3"/>
  <c r="AO7" i="3"/>
  <c r="AP7" i="3"/>
  <c r="T7" i="3" s="1"/>
  <c r="AQ7" i="3"/>
  <c r="Q7" i="3" s="1"/>
  <c r="AR7" i="3"/>
  <c r="R7" i="3" s="1"/>
  <c r="AS7" i="3"/>
  <c r="S7" i="3" s="1"/>
  <c r="AT7" i="3"/>
  <c r="AU7" i="3"/>
  <c r="AY7" i="3"/>
  <c r="AZ7" i="3"/>
  <c r="U8" i="3"/>
  <c r="AB8" i="3"/>
  <c r="AC8" i="3"/>
  <c r="AE8" i="3"/>
  <c r="AI8" i="3"/>
  <c r="AJ8" i="3"/>
  <c r="AM8" i="3"/>
  <c r="AN8" i="3"/>
  <c r="AO8" i="3"/>
  <c r="AP8" i="3"/>
  <c r="T8" i="3" s="1"/>
  <c r="AQ8" i="3"/>
  <c r="Q8" i="3" s="1"/>
  <c r="AR8" i="3"/>
  <c r="R8" i="3" s="1"/>
  <c r="AS8" i="3"/>
  <c r="S8" i="3" s="1"/>
  <c r="AT8" i="3"/>
  <c r="AU8" i="3"/>
  <c r="N8" i="3"/>
  <c r="AY8" i="3"/>
  <c r="AZ8" i="3"/>
  <c r="U9" i="3"/>
  <c r="AB9" i="3"/>
  <c r="AC9" i="3"/>
  <c r="AE9" i="3"/>
  <c r="AI9" i="3"/>
  <c r="AJ9" i="3"/>
  <c r="L9" i="3" s="1"/>
  <c r="AM9" i="3"/>
  <c r="AN9" i="3"/>
  <c r="AO9" i="3"/>
  <c r="AP9" i="3"/>
  <c r="T9" i="3" s="1"/>
  <c r="AQ9" i="3"/>
  <c r="Q9" i="3" s="1"/>
  <c r="AR9" i="3"/>
  <c r="AS9" i="3"/>
  <c r="S9" i="3" s="1"/>
  <c r="AT9" i="3"/>
  <c r="AU9" i="3"/>
  <c r="AY9" i="3"/>
  <c r="AZ9" i="3"/>
  <c r="U10" i="3"/>
  <c r="AK10" i="3"/>
  <c r="AB10" i="3"/>
  <c r="AC10" i="3"/>
  <c r="AE10" i="3"/>
  <c r="AI10" i="3"/>
  <c r="AJ10" i="3"/>
  <c r="AM10" i="3"/>
  <c r="AN10" i="3"/>
  <c r="AO10" i="3"/>
  <c r="AP10" i="3"/>
  <c r="T10" i="3" s="1"/>
  <c r="AQ10" i="3"/>
  <c r="Q10" i="3" s="1"/>
  <c r="AR10" i="3"/>
  <c r="R10" i="3" s="1"/>
  <c r="AS10" i="3"/>
  <c r="S10" i="3" s="1"/>
  <c r="AT10" i="3"/>
  <c r="AU10" i="3"/>
  <c r="AY10" i="3"/>
  <c r="AZ10" i="3"/>
  <c r="U11" i="3"/>
  <c r="AK11" i="3"/>
  <c r="AB11" i="3"/>
  <c r="AC11" i="3"/>
  <c r="AE11" i="3"/>
  <c r="AI11" i="3"/>
  <c r="AJ11" i="3"/>
  <c r="AM11" i="3"/>
  <c r="AN11" i="3"/>
  <c r="AO11" i="3"/>
  <c r="AP11" i="3"/>
  <c r="T11" i="3" s="1"/>
  <c r="AQ11" i="3"/>
  <c r="Q11" i="3" s="1"/>
  <c r="AR11" i="3"/>
  <c r="R11" i="3" s="1"/>
  <c r="AS11" i="3"/>
  <c r="S11" i="3" s="1"/>
  <c r="AT11" i="3"/>
  <c r="AU11" i="3"/>
  <c r="AY11" i="3"/>
  <c r="AZ11" i="3"/>
  <c r="U12" i="3"/>
  <c r="AK12" i="3"/>
  <c r="AB12" i="3"/>
  <c r="AC12" i="3"/>
  <c r="AE12" i="3"/>
  <c r="AI12" i="3"/>
  <c r="AJ12" i="3"/>
  <c r="AM12" i="3"/>
  <c r="AN12" i="3"/>
  <c r="AO12" i="3"/>
  <c r="L11" i="3" s="1"/>
  <c r="AP12" i="3"/>
  <c r="T12" i="3" s="1"/>
  <c r="AQ12" i="3"/>
  <c r="Q12" i="3" s="1"/>
  <c r="AR12" i="3"/>
  <c r="R12" i="3" s="1"/>
  <c r="AS12" i="3"/>
  <c r="S12" i="3" s="1"/>
  <c r="AT12" i="3"/>
  <c r="AU12" i="3"/>
  <c r="AY12" i="3"/>
  <c r="AZ12" i="3"/>
  <c r="U13" i="3"/>
  <c r="AB13" i="3"/>
  <c r="AC13" i="3"/>
  <c r="AE13" i="3"/>
  <c r="AI13" i="3"/>
  <c r="AJ13" i="3"/>
  <c r="AM13" i="3"/>
  <c r="AN13" i="3"/>
  <c r="AO13" i="3"/>
  <c r="AP13" i="3"/>
  <c r="T13" i="3" s="1"/>
  <c r="AQ13" i="3"/>
  <c r="Q13" i="3" s="1"/>
  <c r="AR13" i="3"/>
  <c r="R13" i="3" s="1"/>
  <c r="AS13" i="3"/>
  <c r="S13" i="3" s="1"/>
  <c r="AT13" i="3"/>
  <c r="AU13" i="3"/>
  <c r="AY13" i="3"/>
  <c r="U14" i="3"/>
  <c r="AB14" i="3"/>
  <c r="AC14" i="3"/>
  <c r="AE14" i="3"/>
  <c r="AI14" i="3"/>
  <c r="AJ14" i="3"/>
  <c r="AM14" i="3"/>
  <c r="AN14" i="3"/>
  <c r="AO14" i="3"/>
  <c r="AP14" i="3"/>
  <c r="T14" i="3" s="1"/>
  <c r="AQ14" i="3"/>
  <c r="Q14" i="3" s="1"/>
  <c r="AR14" i="3"/>
  <c r="R14" i="3" s="1"/>
  <c r="AS14" i="3"/>
  <c r="S14" i="3" s="1"/>
  <c r="AT14" i="3"/>
  <c r="AU14" i="3"/>
  <c r="AY14" i="3"/>
  <c r="U15" i="3"/>
  <c r="AB15" i="3"/>
  <c r="AC15" i="3"/>
  <c r="AE15" i="3"/>
  <c r="AI15" i="3"/>
  <c r="AJ15" i="3"/>
  <c r="AM15" i="3"/>
  <c r="AN15" i="3"/>
  <c r="AO15" i="3"/>
  <c r="AP15" i="3"/>
  <c r="T15" i="3" s="1"/>
  <c r="AQ15" i="3"/>
  <c r="Q15" i="3" s="1"/>
  <c r="AR15" i="3"/>
  <c r="R15" i="3" s="1"/>
  <c r="AS15" i="3"/>
  <c r="S15" i="3" s="1"/>
  <c r="AT15" i="3"/>
  <c r="AU15" i="3"/>
  <c r="AY15" i="3"/>
  <c r="AZ15" i="3"/>
  <c r="AK16" i="3"/>
  <c r="U16" i="3"/>
  <c r="AB16" i="3"/>
  <c r="AC16" i="3"/>
  <c r="AE16" i="3"/>
  <c r="AI16" i="3"/>
  <c r="AJ16" i="3"/>
  <c r="L16" i="3" s="1"/>
  <c r="AM16" i="3"/>
  <c r="AN16" i="3"/>
  <c r="AO16" i="3"/>
  <c r="AP16" i="3"/>
  <c r="AQ16" i="3"/>
  <c r="Q16" i="3" s="1"/>
  <c r="AR16" i="3"/>
  <c r="R16" i="3" s="1"/>
  <c r="AS16" i="3"/>
  <c r="S16" i="3" s="1"/>
  <c r="AT16" i="3"/>
  <c r="AU16" i="3"/>
  <c r="AY16" i="3"/>
  <c r="AZ16" i="3"/>
  <c r="U17" i="3"/>
  <c r="AK17" i="3"/>
  <c r="AB17" i="3"/>
  <c r="AC17" i="3"/>
  <c r="AE17" i="3"/>
  <c r="AI17" i="3"/>
  <c r="AJ17" i="3"/>
  <c r="AM17" i="3"/>
  <c r="AN17" i="3"/>
  <c r="AO17" i="3"/>
  <c r="L17" i="3" s="1"/>
  <c r="AP17" i="3"/>
  <c r="T17" i="3" s="1"/>
  <c r="AQ17" i="3"/>
  <c r="Q17" i="3" s="1"/>
  <c r="AR17" i="3"/>
  <c r="R17" i="3" s="1"/>
  <c r="AS17" i="3"/>
  <c r="S17" i="3" s="1"/>
  <c r="AT17" i="3"/>
  <c r="AU17" i="3"/>
  <c r="AY17" i="3"/>
  <c r="AZ17" i="3"/>
  <c r="U18" i="3"/>
  <c r="AK18" i="3"/>
  <c r="AB18" i="3"/>
  <c r="AC18" i="3"/>
  <c r="AE18" i="3"/>
  <c r="AI18" i="3"/>
  <c r="AJ18" i="3"/>
  <c r="AM18" i="3"/>
  <c r="AN18" i="3"/>
  <c r="AO18" i="3"/>
  <c r="AP18" i="3"/>
  <c r="T18" i="3" s="1"/>
  <c r="AQ18" i="3"/>
  <c r="AR18" i="3"/>
  <c r="R18" i="3" s="1"/>
  <c r="AS18" i="3"/>
  <c r="S18" i="3" s="1"/>
  <c r="AT18" i="3"/>
  <c r="AU18" i="3"/>
  <c r="AY18" i="3"/>
  <c r="AZ18" i="3"/>
  <c r="U19" i="3"/>
  <c r="AK19" i="3"/>
  <c r="AB19" i="3"/>
  <c r="AC19" i="3"/>
  <c r="AE19" i="3"/>
  <c r="AI19" i="3"/>
  <c r="AJ19" i="3"/>
  <c r="AM19" i="3"/>
  <c r="AN19" i="3"/>
  <c r="AO19" i="3"/>
  <c r="AP19" i="3"/>
  <c r="T19" i="3" s="1"/>
  <c r="AQ19" i="3"/>
  <c r="Q19" i="3" s="1"/>
  <c r="AR19" i="3"/>
  <c r="R19" i="3" s="1"/>
  <c r="AS19" i="3"/>
  <c r="S19" i="3" s="1"/>
  <c r="AT19" i="3"/>
  <c r="AU19" i="3"/>
  <c r="AY19" i="3"/>
  <c r="AZ19" i="3"/>
  <c r="U20" i="3"/>
  <c r="AB20" i="3"/>
  <c r="AC20" i="3"/>
  <c r="AE20" i="3"/>
  <c r="AI20" i="3"/>
  <c r="AJ20" i="3"/>
  <c r="AM20" i="3"/>
  <c r="AN20" i="3"/>
  <c r="AO20" i="3"/>
  <c r="AP20" i="3"/>
  <c r="T20" i="3" s="1"/>
  <c r="AQ20" i="3"/>
  <c r="Q20" i="3" s="1"/>
  <c r="AR20" i="3"/>
  <c r="R20" i="3" s="1"/>
  <c r="AS20" i="3"/>
  <c r="S20" i="3" s="1"/>
  <c r="AT20" i="3"/>
  <c r="AU20" i="3"/>
  <c r="AY20" i="3"/>
  <c r="AZ20" i="3"/>
  <c r="U21" i="3"/>
  <c r="AB21" i="3"/>
  <c r="AC21" i="3"/>
  <c r="AE21" i="3"/>
  <c r="AI21" i="3"/>
  <c r="AJ21" i="3"/>
  <c r="AM21" i="3"/>
  <c r="AN21" i="3"/>
  <c r="AO21" i="3"/>
  <c r="AP21" i="3"/>
  <c r="T21" i="3" s="1"/>
  <c r="AQ21" i="3"/>
  <c r="Q21" i="3" s="1"/>
  <c r="AR21" i="3"/>
  <c r="R21" i="3" s="1"/>
  <c r="AS21" i="3"/>
  <c r="S21" i="3" s="1"/>
  <c r="AT21" i="3"/>
  <c r="AU21" i="3"/>
  <c r="AY21" i="3"/>
  <c r="AK22" i="3"/>
  <c r="U22" i="3"/>
  <c r="AB22" i="3"/>
  <c r="AC22" i="3"/>
  <c r="AE22" i="3"/>
  <c r="AI22" i="3"/>
  <c r="AJ22" i="3"/>
  <c r="AM22" i="3"/>
  <c r="AN22" i="3"/>
  <c r="AO22" i="3"/>
  <c r="AP22" i="3"/>
  <c r="T22" i="3" s="1"/>
  <c r="AQ22" i="3"/>
  <c r="Q22" i="3" s="1"/>
  <c r="AR22" i="3"/>
  <c r="R22" i="3" s="1"/>
  <c r="AS22" i="3"/>
  <c r="S22" i="3" s="1"/>
  <c r="AT22" i="3"/>
  <c r="AU22" i="3"/>
  <c r="AY22" i="3"/>
  <c r="AZ22" i="3"/>
  <c r="U23" i="3"/>
  <c r="AB23" i="3"/>
  <c r="AC23" i="3"/>
  <c r="AE23" i="3"/>
  <c r="AI23" i="3"/>
  <c r="AJ23" i="3"/>
  <c r="L23" i="3" s="1"/>
  <c r="AM23" i="3"/>
  <c r="AN23" i="3"/>
  <c r="AO23" i="3"/>
  <c r="AP23" i="3"/>
  <c r="T23" i="3" s="1"/>
  <c r="AQ23" i="3"/>
  <c r="Q23" i="3" s="1"/>
  <c r="AR23" i="3"/>
  <c r="R23" i="3" s="1"/>
  <c r="AS23" i="3"/>
  <c r="S23" i="3" s="1"/>
  <c r="AT23" i="3"/>
  <c r="AU23" i="3"/>
  <c r="AY23" i="3"/>
  <c r="AZ23" i="3"/>
  <c r="U24" i="3"/>
  <c r="AK24" i="3"/>
  <c r="AB24" i="3"/>
  <c r="AC24" i="3"/>
  <c r="AE24" i="3"/>
  <c r="AI24" i="3"/>
  <c r="AJ24" i="3"/>
  <c r="AM24" i="3"/>
  <c r="AN24" i="3"/>
  <c r="AO24" i="3"/>
  <c r="AP24" i="3"/>
  <c r="T24" i="3" s="1"/>
  <c r="AQ24" i="3"/>
  <c r="Q24" i="3" s="1"/>
  <c r="AR24" i="3"/>
  <c r="R24" i="3" s="1"/>
  <c r="AS24" i="3"/>
  <c r="S24" i="3" s="1"/>
  <c r="AT24" i="3"/>
  <c r="AU24" i="3"/>
  <c r="AY24" i="3"/>
  <c r="AZ24" i="3"/>
  <c r="U25" i="3"/>
  <c r="AK25" i="3"/>
  <c r="AB25" i="3"/>
  <c r="AC25" i="3"/>
  <c r="AE25" i="3"/>
  <c r="AI25" i="3"/>
  <c r="AJ25" i="3"/>
  <c r="AM25" i="3"/>
  <c r="AN25" i="3"/>
  <c r="AO25" i="3"/>
  <c r="AP25" i="3"/>
  <c r="T25" i="3" s="1"/>
  <c r="AQ25" i="3"/>
  <c r="Q25" i="3" s="1"/>
  <c r="AR25" i="3"/>
  <c r="R25" i="3" s="1"/>
  <c r="AS25" i="3"/>
  <c r="S25" i="3" s="1"/>
  <c r="AT25" i="3"/>
  <c r="AU25" i="3"/>
  <c r="AY25" i="3"/>
  <c r="AZ25" i="3"/>
  <c r="U26" i="3"/>
  <c r="AB26" i="3"/>
  <c r="AC26" i="3"/>
  <c r="AE26" i="3"/>
  <c r="AI26" i="3"/>
  <c r="AJ26" i="3"/>
  <c r="AK26" i="3"/>
  <c r="AM26" i="3"/>
  <c r="AN26" i="3"/>
  <c r="AO26" i="3"/>
  <c r="AP26" i="3"/>
  <c r="T26" i="3" s="1"/>
  <c r="AQ26" i="3"/>
  <c r="Q26" i="3" s="1"/>
  <c r="AR26" i="3"/>
  <c r="R26" i="3" s="1"/>
  <c r="AS26" i="3"/>
  <c r="AT26" i="3"/>
  <c r="AU26" i="3"/>
  <c r="AY26" i="3"/>
  <c r="AZ26" i="3"/>
  <c r="U27" i="3"/>
  <c r="AB27" i="3"/>
  <c r="AC27" i="3"/>
  <c r="AE27" i="3"/>
  <c r="AI27" i="3"/>
  <c r="AJ27" i="3"/>
  <c r="AM27" i="3"/>
  <c r="AN27" i="3"/>
  <c r="AO27" i="3"/>
  <c r="AP27" i="3"/>
  <c r="T27" i="3" s="1"/>
  <c r="AQ27" i="3"/>
  <c r="Q27" i="3" s="1"/>
  <c r="AR27" i="3"/>
  <c r="R27" i="3" s="1"/>
  <c r="AS27" i="3"/>
  <c r="S27" i="3" s="1"/>
  <c r="AT27" i="3"/>
  <c r="AU27" i="3"/>
  <c r="AY27" i="3"/>
  <c r="AZ27" i="3"/>
  <c r="U28" i="3"/>
  <c r="AB28" i="3"/>
  <c r="AC28" i="3"/>
  <c r="AE28" i="3"/>
  <c r="AI28" i="3"/>
  <c r="AJ28" i="3"/>
  <c r="AM28" i="3"/>
  <c r="AN28" i="3"/>
  <c r="AO28" i="3"/>
  <c r="AP28" i="3"/>
  <c r="T28" i="3" s="1"/>
  <c r="AQ28" i="3"/>
  <c r="Q28" i="3" s="1"/>
  <c r="AR28" i="3"/>
  <c r="R28" i="3" s="1"/>
  <c r="AS28" i="3"/>
  <c r="S28" i="3" s="1"/>
  <c r="AT28" i="3"/>
  <c r="AU28" i="3"/>
  <c r="AY28" i="3"/>
  <c r="AZ28" i="3"/>
  <c r="U29" i="3"/>
  <c r="AB29" i="3"/>
  <c r="AC29" i="3"/>
  <c r="AE29" i="3"/>
  <c r="AI29" i="3"/>
  <c r="AJ29" i="3"/>
  <c r="AM29" i="3"/>
  <c r="AN29" i="3"/>
  <c r="AO29" i="3"/>
  <c r="AP29" i="3"/>
  <c r="T29" i="3" s="1"/>
  <c r="AQ29" i="3"/>
  <c r="Q29" i="3" s="1"/>
  <c r="AR29" i="3"/>
  <c r="R29" i="3" s="1"/>
  <c r="AS29" i="3"/>
  <c r="S29" i="3" s="1"/>
  <c r="AT29" i="3"/>
  <c r="AU29" i="3"/>
  <c r="AY29" i="3"/>
  <c r="AZ29" i="3"/>
  <c r="AK30" i="3"/>
  <c r="U30" i="3"/>
  <c r="AB30" i="3"/>
  <c r="AC30" i="3"/>
  <c r="AE30" i="3"/>
  <c r="AI30" i="3"/>
  <c r="AJ30" i="3"/>
  <c r="L30" i="3" s="1"/>
  <c r="AM30" i="3"/>
  <c r="AN30" i="3"/>
  <c r="AO30" i="3"/>
  <c r="AP30" i="3"/>
  <c r="T30" i="3" s="1"/>
  <c r="AQ30" i="3"/>
  <c r="Q30" i="3" s="1"/>
  <c r="AR30" i="3"/>
  <c r="R30" i="3" s="1"/>
  <c r="AS30" i="3"/>
  <c r="S30" i="3" s="1"/>
  <c r="AT30" i="3"/>
  <c r="AU30" i="3"/>
  <c r="AY30" i="3"/>
  <c r="AZ30" i="3"/>
  <c r="U31" i="3"/>
  <c r="AK31" i="3"/>
  <c r="AB31" i="3"/>
  <c r="AC31" i="3"/>
  <c r="AE31" i="3"/>
  <c r="AI31" i="3"/>
  <c r="AJ31" i="3"/>
  <c r="AM31" i="3"/>
  <c r="AN31" i="3"/>
  <c r="AO31" i="3"/>
  <c r="AP31" i="3"/>
  <c r="T31" i="3" s="1"/>
  <c r="AQ31" i="3"/>
  <c r="Q31" i="3" s="1"/>
  <c r="AR31" i="3"/>
  <c r="R31" i="3" s="1"/>
  <c r="AS31" i="3"/>
  <c r="S31" i="3" s="1"/>
  <c r="AT31" i="3"/>
  <c r="AU31" i="3"/>
  <c r="AY31" i="3"/>
  <c r="AZ31" i="3"/>
  <c r="U32" i="3"/>
  <c r="AK32" i="3"/>
  <c r="AB32" i="3"/>
  <c r="AC32" i="3"/>
  <c r="AE32" i="3"/>
  <c r="AI32" i="3"/>
  <c r="AJ32" i="3"/>
  <c r="AM32" i="3"/>
  <c r="AN32" i="3"/>
  <c r="AO32" i="3"/>
  <c r="AP32" i="3"/>
  <c r="T32" i="3" s="1"/>
  <c r="AQ32" i="3"/>
  <c r="Q32" i="3" s="1"/>
  <c r="AR32" i="3"/>
  <c r="R32" i="3" s="1"/>
  <c r="AS32" i="3"/>
  <c r="S32" i="3" s="1"/>
  <c r="AT32" i="3"/>
  <c r="AU32" i="3"/>
  <c r="AY32" i="3"/>
  <c r="AZ32" i="3"/>
  <c r="U33" i="3"/>
  <c r="AK33" i="3"/>
  <c r="AB33" i="3"/>
  <c r="AC33" i="3"/>
  <c r="AE33" i="3"/>
  <c r="AI33" i="3"/>
  <c r="AJ33" i="3"/>
  <c r="AM33" i="3"/>
  <c r="AN33" i="3"/>
  <c r="AO33" i="3"/>
  <c r="L33" i="3" s="1"/>
  <c r="AP33" i="3"/>
  <c r="T33" i="3" s="1"/>
  <c r="AQ33" i="3"/>
  <c r="Q33" i="3" s="1"/>
  <c r="AR33" i="3"/>
  <c r="R33" i="3" s="1"/>
  <c r="AS33" i="3"/>
  <c r="S33" i="3" s="1"/>
  <c r="AT33" i="3"/>
  <c r="AU33" i="3"/>
  <c r="AY33" i="3"/>
  <c r="AZ33" i="3"/>
  <c r="U34" i="3"/>
  <c r="AB34" i="3"/>
  <c r="AC34" i="3"/>
  <c r="AE34" i="3"/>
  <c r="AI34" i="3"/>
  <c r="AJ34" i="3"/>
  <c r="AM34" i="3"/>
  <c r="AN34" i="3"/>
  <c r="AO34" i="3"/>
  <c r="AP34" i="3"/>
  <c r="T34" i="3" s="1"/>
  <c r="AQ34" i="3"/>
  <c r="Q34" i="3" s="1"/>
  <c r="AR34" i="3"/>
  <c r="R34" i="3" s="1"/>
  <c r="AS34" i="3"/>
  <c r="S34" i="3" s="1"/>
  <c r="AT34" i="3"/>
  <c r="AU34" i="3"/>
  <c r="AY34" i="3"/>
  <c r="AZ34" i="3"/>
  <c r="U35" i="3"/>
  <c r="AB35" i="3"/>
  <c r="AC35" i="3"/>
  <c r="AE35" i="3"/>
  <c r="AI35" i="3"/>
  <c r="AJ35" i="3"/>
  <c r="AM35" i="3"/>
  <c r="AN35" i="3"/>
  <c r="AO35" i="3"/>
  <c r="AP35" i="3"/>
  <c r="T35" i="3" s="1"/>
  <c r="AQ35" i="3"/>
  <c r="Q35" i="3" s="1"/>
  <c r="AR35" i="3"/>
  <c r="R35" i="3" s="1"/>
  <c r="AS35" i="3"/>
  <c r="S35" i="3" s="1"/>
  <c r="AT35" i="3"/>
  <c r="AU35" i="3"/>
  <c r="AY35" i="3"/>
  <c r="AZ35" i="3"/>
  <c r="U36" i="3"/>
  <c r="AB36" i="3"/>
  <c r="AC36" i="3"/>
  <c r="AE36" i="3"/>
  <c r="AI36" i="3"/>
  <c r="AJ36" i="3"/>
  <c r="AM36" i="3"/>
  <c r="AN36" i="3"/>
  <c r="AO36" i="3"/>
  <c r="AP36" i="3"/>
  <c r="T36" i="3" s="1"/>
  <c r="AQ36" i="3"/>
  <c r="Q36" i="3" s="1"/>
  <c r="AR36" i="3"/>
  <c r="R36" i="3" s="1"/>
  <c r="AS36" i="3"/>
  <c r="S36" i="3" s="1"/>
  <c r="AT36" i="3"/>
  <c r="AU36" i="3"/>
  <c r="AY36" i="3"/>
  <c r="AZ36" i="3"/>
  <c r="U37" i="3"/>
  <c r="AB37" i="3"/>
  <c r="AC37" i="3"/>
  <c r="AE37" i="3"/>
  <c r="AI37" i="3"/>
  <c r="AJ37" i="3"/>
  <c r="L37" i="3" s="1"/>
  <c r="AM37" i="3"/>
  <c r="AN37" i="3"/>
  <c r="AO37" i="3"/>
  <c r="AP37" i="3"/>
  <c r="T37" i="3" s="1"/>
  <c r="AQ37" i="3"/>
  <c r="Q37" i="3" s="1"/>
  <c r="AR37" i="3"/>
  <c r="R37" i="3" s="1"/>
  <c r="AS37" i="3"/>
  <c r="S37" i="3" s="1"/>
  <c r="AT37" i="3"/>
  <c r="AU37" i="3"/>
  <c r="AY37" i="3"/>
  <c r="AZ37" i="3"/>
  <c r="AZ38" i="3"/>
  <c r="AZ39" i="3"/>
  <c r="H40" i="3"/>
  <c r="AA40" i="3"/>
  <c r="AZ40" i="3"/>
  <c r="AZ41" i="3"/>
  <c r="W42" i="3"/>
  <c r="AH42" i="3"/>
  <c r="AZ42" i="3"/>
  <c r="M43" i="3"/>
  <c r="W43" i="3"/>
  <c r="W56" i="3" s="1"/>
  <c r="AZ43" i="3"/>
  <c r="W46" i="3"/>
  <c r="W47" i="3"/>
  <c r="W48" i="3"/>
  <c r="W49" i="3"/>
  <c r="W50" i="3"/>
  <c r="W51" i="3"/>
  <c r="M52" i="3"/>
  <c r="U52" i="3" s="1"/>
  <c r="W52" i="3"/>
  <c r="W53" i="3"/>
  <c r="W54" i="3"/>
  <c r="AE54" i="3"/>
  <c r="AF54" i="3" s="1"/>
  <c r="AH54" i="3" s="1"/>
  <c r="M53" i="3" s="1"/>
  <c r="W55" i="3"/>
  <c r="AE55" i="3"/>
  <c r="AF55" i="3" s="1"/>
  <c r="AH55" i="3" s="1"/>
  <c r="M54" i="3" s="1"/>
  <c r="AF2" i="9"/>
  <c r="M4" i="9"/>
  <c r="U4" i="9"/>
  <c r="U4" i="10" s="1"/>
  <c r="U7" i="9"/>
  <c r="AB7" i="9"/>
  <c r="AC7" i="9"/>
  <c r="AE7" i="9"/>
  <c r="AI7" i="9"/>
  <c r="AJ7" i="9"/>
  <c r="AM7" i="9"/>
  <c r="AN7" i="9"/>
  <c r="AO7" i="9"/>
  <c r="AP7" i="9"/>
  <c r="T7" i="9" s="1"/>
  <c r="AQ7" i="9"/>
  <c r="Q7" i="9" s="1"/>
  <c r="AR7" i="9"/>
  <c r="R7" i="9" s="1"/>
  <c r="AS7" i="9"/>
  <c r="S7" i="9" s="1"/>
  <c r="AT7" i="9"/>
  <c r="AU7" i="9"/>
  <c r="AW7" i="9"/>
  <c r="AY7" i="9"/>
  <c r="AZ7" i="9"/>
  <c r="U8" i="9"/>
  <c r="AB8" i="9"/>
  <c r="AC8" i="9"/>
  <c r="AE8" i="9"/>
  <c r="AI8" i="9"/>
  <c r="AJ8" i="9"/>
  <c r="AM8" i="9"/>
  <c r="AN8" i="9"/>
  <c r="AO8" i="9"/>
  <c r="AP8" i="9"/>
  <c r="T8" i="9" s="1"/>
  <c r="AQ8" i="9"/>
  <c r="Q8" i="9" s="1"/>
  <c r="AR8" i="9"/>
  <c r="R8" i="9" s="1"/>
  <c r="AS8" i="9"/>
  <c r="S8" i="9" s="1"/>
  <c r="AT8" i="9"/>
  <c r="AU8" i="9"/>
  <c r="AW8" i="9"/>
  <c r="AY8" i="9"/>
  <c r="AZ8" i="9"/>
  <c r="AK9" i="9"/>
  <c r="U9" i="9"/>
  <c r="AB9" i="9"/>
  <c r="AC9" i="9"/>
  <c r="AE9" i="9"/>
  <c r="AI9" i="9"/>
  <c r="AJ9" i="9"/>
  <c r="AM9" i="9"/>
  <c r="AN9" i="9"/>
  <c r="AO9" i="9"/>
  <c r="AP9" i="9"/>
  <c r="T9" i="9" s="1"/>
  <c r="AQ9" i="9"/>
  <c r="Q9" i="9" s="1"/>
  <c r="AR9" i="9"/>
  <c r="R9" i="9" s="1"/>
  <c r="AS9" i="9"/>
  <c r="S9" i="9" s="1"/>
  <c r="AT9" i="9"/>
  <c r="AU9" i="9"/>
  <c r="AY9" i="9"/>
  <c r="AZ9" i="9"/>
  <c r="U10" i="9"/>
  <c r="AK10" i="9"/>
  <c r="AB10" i="9"/>
  <c r="AC10" i="9"/>
  <c r="AE10" i="9"/>
  <c r="AI10" i="9"/>
  <c r="AJ10" i="9"/>
  <c r="L10" i="9" s="1"/>
  <c r="AM10" i="9"/>
  <c r="AN10" i="9"/>
  <c r="AO10" i="9"/>
  <c r="AP10" i="9"/>
  <c r="T10" i="9" s="1"/>
  <c r="AQ10" i="9"/>
  <c r="Q10" i="9" s="1"/>
  <c r="AR10" i="9"/>
  <c r="R10" i="9" s="1"/>
  <c r="AS10" i="9"/>
  <c r="S10" i="9" s="1"/>
  <c r="AT10" i="9"/>
  <c r="AU10" i="9"/>
  <c r="AY10" i="9"/>
  <c r="AZ10" i="9"/>
  <c r="U11" i="9"/>
  <c r="AK11" i="9"/>
  <c r="AB11" i="9"/>
  <c r="AC11" i="9"/>
  <c r="AE11" i="9"/>
  <c r="AI11" i="9"/>
  <c r="AJ11" i="9"/>
  <c r="AM11" i="9"/>
  <c r="AN11" i="9"/>
  <c r="AO11" i="9"/>
  <c r="AP11" i="9"/>
  <c r="T11" i="9" s="1"/>
  <c r="AQ11" i="9"/>
  <c r="Q11" i="9" s="1"/>
  <c r="AR11" i="9"/>
  <c r="R11" i="9" s="1"/>
  <c r="AS11" i="9"/>
  <c r="S11" i="9" s="1"/>
  <c r="AT11" i="9"/>
  <c r="AU11" i="9"/>
  <c r="AY11" i="9"/>
  <c r="AZ11" i="9"/>
  <c r="U12" i="9"/>
  <c r="AK12" i="9"/>
  <c r="AB12" i="9"/>
  <c r="AC12" i="9"/>
  <c r="AE12" i="9"/>
  <c r="AI12" i="9"/>
  <c r="AJ12" i="9"/>
  <c r="AM12" i="9"/>
  <c r="AN12" i="9"/>
  <c r="AO12" i="9"/>
  <c r="AP12" i="9"/>
  <c r="T12" i="9" s="1"/>
  <c r="AQ12" i="9"/>
  <c r="Q12" i="9" s="1"/>
  <c r="AR12" i="9"/>
  <c r="R12" i="9" s="1"/>
  <c r="AS12" i="9"/>
  <c r="S12" i="9" s="1"/>
  <c r="AT12" i="9"/>
  <c r="AU12" i="9"/>
  <c r="AY12" i="9"/>
  <c r="AZ12" i="9"/>
  <c r="U13" i="9"/>
  <c r="AB13" i="9"/>
  <c r="AC13" i="9"/>
  <c r="AE13" i="9"/>
  <c r="AI13" i="9"/>
  <c r="AJ13" i="9"/>
  <c r="AK13" i="9"/>
  <c r="AM13" i="9"/>
  <c r="AN13" i="9"/>
  <c r="AO13" i="9"/>
  <c r="AP13" i="9"/>
  <c r="T13" i="9" s="1"/>
  <c r="AQ13" i="9"/>
  <c r="Q13" i="9" s="1"/>
  <c r="AR13" i="9"/>
  <c r="R13" i="9" s="1"/>
  <c r="AS13" i="9"/>
  <c r="S13" i="9" s="1"/>
  <c r="AT13" i="9"/>
  <c r="AU13" i="9"/>
  <c r="AY13" i="9"/>
  <c r="U14" i="9"/>
  <c r="AB14" i="9"/>
  <c r="AC14" i="9"/>
  <c r="AE14" i="9"/>
  <c r="AI14" i="9"/>
  <c r="AJ14" i="9"/>
  <c r="AM14" i="9"/>
  <c r="AN14" i="9"/>
  <c r="AO14" i="9"/>
  <c r="AP14" i="9"/>
  <c r="T14" i="9" s="1"/>
  <c r="AQ14" i="9"/>
  <c r="Q14" i="9" s="1"/>
  <c r="AR14" i="9"/>
  <c r="R14" i="9" s="1"/>
  <c r="AS14" i="9"/>
  <c r="S14" i="9" s="1"/>
  <c r="AT14" i="9"/>
  <c r="AU14" i="9"/>
  <c r="AY14" i="9"/>
  <c r="U15" i="9"/>
  <c r="AB15" i="9"/>
  <c r="AC15" i="9"/>
  <c r="AE15" i="9"/>
  <c r="AI15" i="9"/>
  <c r="AJ15" i="9"/>
  <c r="AM15" i="9"/>
  <c r="AN15" i="9"/>
  <c r="AO15" i="9"/>
  <c r="AP15" i="9"/>
  <c r="T15" i="9" s="1"/>
  <c r="AQ15" i="9"/>
  <c r="Q15" i="9" s="1"/>
  <c r="AR15" i="9"/>
  <c r="R15" i="9" s="1"/>
  <c r="AS15" i="9"/>
  <c r="S15" i="9" s="1"/>
  <c r="AT15" i="9"/>
  <c r="AU15" i="9"/>
  <c r="AY15" i="9"/>
  <c r="AZ15" i="9"/>
  <c r="U16" i="9"/>
  <c r="AB16" i="9"/>
  <c r="AC16" i="9"/>
  <c r="AE16" i="9"/>
  <c r="AI16" i="9"/>
  <c r="AJ16" i="9"/>
  <c r="AM16" i="9"/>
  <c r="AN16" i="9"/>
  <c r="AO16" i="9"/>
  <c r="AP16" i="9"/>
  <c r="T16" i="9" s="1"/>
  <c r="AQ16" i="9"/>
  <c r="Q16" i="9" s="1"/>
  <c r="AR16" i="9"/>
  <c r="R16" i="9" s="1"/>
  <c r="AS16" i="9"/>
  <c r="S16" i="9" s="1"/>
  <c r="AT16" i="9"/>
  <c r="AU16" i="9"/>
  <c r="AY16" i="9"/>
  <c r="AZ16" i="9"/>
  <c r="U17" i="9"/>
  <c r="AK17" i="9"/>
  <c r="AB17" i="9"/>
  <c r="AD17" i="9" s="1"/>
  <c r="AH17" i="9" s="1"/>
  <c r="AC17" i="9"/>
  <c r="AE17" i="9"/>
  <c r="AI17" i="9"/>
  <c r="AJ17" i="9"/>
  <c r="L17" i="9" s="1"/>
  <c r="AM17" i="9"/>
  <c r="AN17" i="9"/>
  <c r="AO17" i="9"/>
  <c r="AP17" i="9"/>
  <c r="T17" i="9" s="1"/>
  <c r="AQ17" i="9"/>
  <c r="Q17" i="9" s="1"/>
  <c r="AR17" i="9"/>
  <c r="R17" i="9" s="1"/>
  <c r="AS17" i="9"/>
  <c r="S17" i="9" s="1"/>
  <c r="AT17" i="9"/>
  <c r="AU17" i="9"/>
  <c r="AY17" i="9"/>
  <c r="AZ17" i="9"/>
  <c r="U18" i="9"/>
  <c r="AK18" i="9"/>
  <c r="AB18" i="9"/>
  <c r="AC18" i="9"/>
  <c r="AE18" i="9"/>
  <c r="AI18" i="9"/>
  <c r="AJ18" i="9"/>
  <c r="AM18" i="9"/>
  <c r="AN18" i="9"/>
  <c r="AO18" i="9"/>
  <c r="AP18" i="9"/>
  <c r="T18" i="9" s="1"/>
  <c r="AQ18" i="9"/>
  <c r="Q18" i="9" s="1"/>
  <c r="AR18" i="9"/>
  <c r="R18" i="9" s="1"/>
  <c r="AS18" i="9"/>
  <c r="S18" i="9" s="1"/>
  <c r="AT18" i="9"/>
  <c r="AU18" i="9"/>
  <c r="AY18" i="9"/>
  <c r="AZ18" i="9"/>
  <c r="U19" i="9"/>
  <c r="AK19" i="9"/>
  <c r="AB19" i="9"/>
  <c r="AC19" i="9"/>
  <c r="AE19" i="9"/>
  <c r="AI19" i="9"/>
  <c r="AJ19" i="9"/>
  <c r="AM19" i="9"/>
  <c r="AN19" i="9"/>
  <c r="AO19" i="9"/>
  <c r="AP19" i="9"/>
  <c r="T19" i="9" s="1"/>
  <c r="AQ19" i="9"/>
  <c r="Q19" i="9" s="1"/>
  <c r="AR19" i="9"/>
  <c r="R19" i="9" s="1"/>
  <c r="AS19" i="9"/>
  <c r="S19" i="9" s="1"/>
  <c r="AT19" i="9"/>
  <c r="AU19" i="9"/>
  <c r="AY19" i="9"/>
  <c r="AZ19" i="9"/>
  <c r="U20" i="9"/>
  <c r="AK20" i="9"/>
  <c r="AB20" i="9"/>
  <c r="AC20" i="9"/>
  <c r="AE20" i="9"/>
  <c r="AI20" i="9"/>
  <c r="AJ20" i="9"/>
  <c r="AM20" i="9"/>
  <c r="AN20" i="9"/>
  <c r="AO20" i="9"/>
  <c r="AP20" i="9"/>
  <c r="T20" i="9" s="1"/>
  <c r="AQ20" i="9"/>
  <c r="Q20" i="9" s="1"/>
  <c r="AR20" i="9"/>
  <c r="R20" i="9" s="1"/>
  <c r="AS20" i="9"/>
  <c r="S20" i="9" s="1"/>
  <c r="AT20" i="9"/>
  <c r="AU20" i="9"/>
  <c r="AY20" i="9"/>
  <c r="AZ20" i="9"/>
  <c r="U21" i="9"/>
  <c r="AB21" i="9"/>
  <c r="AC21" i="9"/>
  <c r="AE21" i="9"/>
  <c r="AI21" i="9"/>
  <c r="AJ21" i="9"/>
  <c r="AM21" i="9"/>
  <c r="AN21" i="9"/>
  <c r="AO21" i="9"/>
  <c r="AP21" i="9"/>
  <c r="T21" i="9" s="1"/>
  <c r="AQ21" i="9"/>
  <c r="Q21" i="9" s="1"/>
  <c r="AR21" i="9"/>
  <c r="R21" i="9" s="1"/>
  <c r="AS21" i="9"/>
  <c r="S21" i="9" s="1"/>
  <c r="AT21" i="9"/>
  <c r="AU21" i="9"/>
  <c r="AY21" i="9"/>
  <c r="U22" i="9"/>
  <c r="AB22" i="9"/>
  <c r="AC22" i="9"/>
  <c r="AE22" i="9"/>
  <c r="AI22" i="9"/>
  <c r="AJ22" i="9"/>
  <c r="AM22" i="9"/>
  <c r="AN22" i="9"/>
  <c r="AO22" i="9"/>
  <c r="AP22" i="9"/>
  <c r="T22" i="9" s="1"/>
  <c r="AQ22" i="9"/>
  <c r="Q22" i="9" s="1"/>
  <c r="AR22" i="9"/>
  <c r="R22" i="9" s="1"/>
  <c r="AS22" i="9"/>
  <c r="S22" i="9" s="1"/>
  <c r="AT22" i="9"/>
  <c r="AU22" i="9"/>
  <c r="AY22" i="9"/>
  <c r="AZ22" i="9"/>
  <c r="U23" i="9"/>
  <c r="AB23" i="9"/>
  <c r="AC23" i="9"/>
  <c r="AE23" i="9"/>
  <c r="AI23" i="9"/>
  <c r="AJ23" i="9"/>
  <c r="AM23" i="9"/>
  <c r="AN23" i="9"/>
  <c r="AO23" i="9"/>
  <c r="AP23" i="9"/>
  <c r="T23" i="9" s="1"/>
  <c r="AQ23" i="9"/>
  <c r="Q23" i="9" s="1"/>
  <c r="AR23" i="9"/>
  <c r="R23" i="9" s="1"/>
  <c r="AS23" i="9"/>
  <c r="S23" i="9" s="1"/>
  <c r="AT23" i="9"/>
  <c r="AU23" i="9"/>
  <c r="AY23" i="9"/>
  <c r="AZ23" i="9"/>
  <c r="U24" i="9"/>
  <c r="AK24" i="9"/>
  <c r="AB24" i="9"/>
  <c r="AC24" i="9"/>
  <c r="AE24" i="9"/>
  <c r="AI24" i="9"/>
  <c r="AJ24" i="9"/>
  <c r="L24" i="9" s="1"/>
  <c r="AM24" i="9"/>
  <c r="AN24" i="9"/>
  <c r="AO24" i="9"/>
  <c r="AP24" i="9"/>
  <c r="T24" i="9" s="1"/>
  <c r="AQ24" i="9"/>
  <c r="Q24" i="9" s="1"/>
  <c r="AR24" i="9"/>
  <c r="R24" i="9" s="1"/>
  <c r="AS24" i="9"/>
  <c r="S24" i="9" s="1"/>
  <c r="AT24" i="9"/>
  <c r="AU24" i="9"/>
  <c r="AY24" i="9"/>
  <c r="AZ24" i="9"/>
  <c r="U25" i="9"/>
  <c r="AK25" i="9"/>
  <c r="AB25" i="9"/>
  <c r="AC25" i="9"/>
  <c r="AE25" i="9"/>
  <c r="AI25" i="9"/>
  <c r="AJ25" i="9"/>
  <c r="AM25" i="9"/>
  <c r="AN25" i="9"/>
  <c r="AO25" i="9"/>
  <c r="AP25" i="9"/>
  <c r="T25" i="9" s="1"/>
  <c r="AQ25" i="9"/>
  <c r="Q25" i="9" s="1"/>
  <c r="AR25" i="9"/>
  <c r="R25" i="9" s="1"/>
  <c r="AS25" i="9"/>
  <c r="S25" i="9" s="1"/>
  <c r="AT25" i="9"/>
  <c r="AU25" i="9"/>
  <c r="AY25" i="9"/>
  <c r="AZ25" i="9"/>
  <c r="U26" i="9"/>
  <c r="AK26" i="9"/>
  <c r="AB26" i="9"/>
  <c r="AC26" i="9"/>
  <c r="AE26" i="9"/>
  <c r="AI26" i="9"/>
  <c r="AJ26" i="9"/>
  <c r="AM26" i="9"/>
  <c r="AN26" i="9"/>
  <c r="AO26" i="9"/>
  <c r="AP26" i="9"/>
  <c r="T26" i="9" s="1"/>
  <c r="AQ26" i="9"/>
  <c r="Q26" i="9" s="1"/>
  <c r="AR26" i="9"/>
  <c r="R26" i="9" s="1"/>
  <c r="AS26" i="9"/>
  <c r="S26" i="9" s="1"/>
  <c r="AT26" i="9"/>
  <c r="AU26" i="9"/>
  <c r="AY26" i="9"/>
  <c r="AZ26" i="9"/>
  <c r="U27" i="9"/>
  <c r="AB27" i="9"/>
  <c r="AC27" i="9"/>
  <c r="AE27" i="9"/>
  <c r="AI27" i="9"/>
  <c r="AJ27" i="9"/>
  <c r="AK27" i="9"/>
  <c r="AM27" i="9"/>
  <c r="AN27" i="9"/>
  <c r="AO27" i="9"/>
  <c r="AP27" i="9"/>
  <c r="T27" i="9" s="1"/>
  <c r="AQ27" i="9"/>
  <c r="Q27" i="9" s="1"/>
  <c r="AR27" i="9"/>
  <c r="AS27" i="9"/>
  <c r="S27" i="9" s="1"/>
  <c r="AT27" i="9"/>
  <c r="AU27" i="9"/>
  <c r="AY27" i="9"/>
  <c r="AZ27" i="9"/>
  <c r="U28" i="9"/>
  <c r="AB28" i="9"/>
  <c r="AC28" i="9"/>
  <c r="AE28" i="9"/>
  <c r="AI28" i="9"/>
  <c r="AJ28" i="9"/>
  <c r="AM28" i="9"/>
  <c r="AN28" i="9"/>
  <c r="AO28" i="9"/>
  <c r="AP28" i="9"/>
  <c r="T28" i="9" s="1"/>
  <c r="AQ28" i="9"/>
  <c r="Q28" i="9" s="1"/>
  <c r="AR28" i="9"/>
  <c r="R28" i="9" s="1"/>
  <c r="AS28" i="9"/>
  <c r="S28" i="9" s="1"/>
  <c r="AT28" i="9"/>
  <c r="AU28" i="9"/>
  <c r="AY28" i="9"/>
  <c r="AZ28" i="9"/>
  <c r="U29" i="9"/>
  <c r="AB29" i="9"/>
  <c r="AC29" i="9"/>
  <c r="AE29" i="9"/>
  <c r="AI29" i="9"/>
  <c r="AJ29" i="9"/>
  <c r="AM29" i="9"/>
  <c r="AN29" i="9"/>
  <c r="AO29" i="9"/>
  <c r="AP29" i="9"/>
  <c r="T29" i="9" s="1"/>
  <c r="AQ29" i="9"/>
  <c r="Q29" i="9" s="1"/>
  <c r="AR29" i="9"/>
  <c r="R29" i="9" s="1"/>
  <c r="AS29" i="9"/>
  <c r="S29" i="9" s="1"/>
  <c r="AT29" i="9"/>
  <c r="AU29" i="9"/>
  <c r="AY29" i="9"/>
  <c r="AZ29" i="9"/>
  <c r="U30" i="9"/>
  <c r="AB30" i="9"/>
  <c r="AF30" i="9" s="1"/>
  <c r="W30" i="9" s="1"/>
  <c r="AC30" i="9"/>
  <c r="AE30" i="9"/>
  <c r="AI30" i="9"/>
  <c r="AJ30" i="9"/>
  <c r="AM30" i="9"/>
  <c r="AN30" i="9"/>
  <c r="AO30" i="9"/>
  <c r="AP30" i="9"/>
  <c r="AQ30" i="9"/>
  <c r="AR30" i="9"/>
  <c r="R30" i="9" s="1"/>
  <c r="AS30" i="9"/>
  <c r="S30" i="9" s="1"/>
  <c r="AT30" i="9"/>
  <c r="AU30" i="9"/>
  <c r="AY30" i="9"/>
  <c r="AZ30" i="9"/>
  <c r="U31" i="9"/>
  <c r="AK31" i="9"/>
  <c r="AB31" i="9"/>
  <c r="AC31" i="9"/>
  <c r="AE31" i="9"/>
  <c r="AI31" i="9"/>
  <c r="AJ31" i="9"/>
  <c r="L31" i="9" s="1"/>
  <c r="AM31" i="9"/>
  <c r="AN31" i="9"/>
  <c r="AO31" i="9"/>
  <c r="AP31" i="9"/>
  <c r="T31" i="9" s="1"/>
  <c r="AQ31" i="9"/>
  <c r="Q31" i="9" s="1"/>
  <c r="AR31" i="9"/>
  <c r="R31" i="9" s="1"/>
  <c r="AS31" i="9"/>
  <c r="S31" i="9" s="1"/>
  <c r="AT31" i="9"/>
  <c r="AU31" i="9"/>
  <c r="AY31" i="9"/>
  <c r="AZ31" i="9"/>
  <c r="U32" i="9"/>
  <c r="AB32" i="9"/>
  <c r="AC32" i="9"/>
  <c r="AE32" i="9"/>
  <c r="AI32" i="9"/>
  <c r="AJ32" i="9"/>
  <c r="AK32" i="9"/>
  <c r="AM32" i="9"/>
  <c r="AN32" i="9"/>
  <c r="AO32" i="9"/>
  <c r="L32" i="9" s="1"/>
  <c r="AP32" i="9"/>
  <c r="T32" i="9" s="1"/>
  <c r="AQ32" i="9"/>
  <c r="Q32" i="9" s="1"/>
  <c r="AR32" i="9"/>
  <c r="R32" i="9" s="1"/>
  <c r="AS32" i="9"/>
  <c r="S32" i="9" s="1"/>
  <c r="AT32" i="9"/>
  <c r="AU32" i="9"/>
  <c r="AY32" i="9"/>
  <c r="AZ32" i="9"/>
  <c r="U33" i="9"/>
  <c r="AK33" i="9"/>
  <c r="AB33" i="9"/>
  <c r="AC33" i="9"/>
  <c r="AE33" i="9"/>
  <c r="AI33" i="9"/>
  <c r="AJ33" i="9"/>
  <c r="AM33" i="9"/>
  <c r="AN33" i="9"/>
  <c r="AO33" i="9"/>
  <c r="AP33" i="9"/>
  <c r="T33" i="9" s="1"/>
  <c r="AQ33" i="9"/>
  <c r="Q33" i="9" s="1"/>
  <c r="AR33" i="9"/>
  <c r="R33" i="9" s="1"/>
  <c r="AS33" i="9"/>
  <c r="S33" i="9" s="1"/>
  <c r="AT33" i="9"/>
  <c r="AU33" i="9"/>
  <c r="AY33" i="9"/>
  <c r="AZ33" i="9"/>
  <c r="U34" i="9"/>
  <c r="AK34" i="9"/>
  <c r="AB34" i="9"/>
  <c r="AC34" i="9"/>
  <c r="AE34" i="9"/>
  <c r="AI34" i="9"/>
  <c r="AJ34" i="9"/>
  <c r="AM34" i="9"/>
  <c r="AN34" i="9"/>
  <c r="AO34" i="9"/>
  <c r="AP34" i="9"/>
  <c r="T34" i="9" s="1"/>
  <c r="AQ34" i="9"/>
  <c r="Q34" i="9" s="1"/>
  <c r="AR34" i="9"/>
  <c r="R34" i="9" s="1"/>
  <c r="AS34" i="9"/>
  <c r="S34" i="9" s="1"/>
  <c r="AT34" i="9"/>
  <c r="AU34" i="9"/>
  <c r="AY34" i="9"/>
  <c r="AZ34" i="9"/>
  <c r="U35" i="9"/>
  <c r="AB35" i="9"/>
  <c r="AC35" i="9"/>
  <c r="AE35" i="9"/>
  <c r="AI35" i="9"/>
  <c r="AJ35" i="9"/>
  <c r="AM35" i="9"/>
  <c r="AN35" i="9"/>
  <c r="AO35" i="9"/>
  <c r="AP35" i="9"/>
  <c r="T35" i="9" s="1"/>
  <c r="AQ35" i="9"/>
  <c r="Q35" i="9" s="1"/>
  <c r="AR35" i="9"/>
  <c r="R35" i="9" s="1"/>
  <c r="AS35" i="9"/>
  <c r="S35" i="9" s="1"/>
  <c r="AT35" i="9"/>
  <c r="AU35" i="9"/>
  <c r="AY35" i="9"/>
  <c r="AZ35" i="9"/>
  <c r="U36" i="9"/>
  <c r="AB36" i="9"/>
  <c r="AC36" i="9"/>
  <c r="AE36" i="9"/>
  <c r="AI36" i="9"/>
  <c r="AJ36" i="9"/>
  <c r="AM36" i="9"/>
  <c r="AN36" i="9"/>
  <c r="AO36" i="9"/>
  <c r="AP36" i="9"/>
  <c r="T36" i="9" s="1"/>
  <c r="AQ36" i="9"/>
  <c r="Q36" i="9" s="1"/>
  <c r="AR36" i="9"/>
  <c r="R36" i="9" s="1"/>
  <c r="AS36" i="9"/>
  <c r="S36" i="9" s="1"/>
  <c r="AT36" i="9"/>
  <c r="AU36" i="9"/>
  <c r="AY36" i="9"/>
  <c r="AZ36" i="9"/>
  <c r="U37" i="9"/>
  <c r="AB37" i="9"/>
  <c r="AC37" i="9"/>
  <c r="AE37" i="9"/>
  <c r="AI37" i="9"/>
  <c r="AJ37" i="9"/>
  <c r="AM37" i="9"/>
  <c r="AN37" i="9"/>
  <c r="AO37" i="9"/>
  <c r="AP37" i="9"/>
  <c r="T37" i="9" s="1"/>
  <c r="AQ37" i="9"/>
  <c r="Q37" i="9" s="1"/>
  <c r="AR37" i="9"/>
  <c r="R37" i="9" s="1"/>
  <c r="AS37" i="9"/>
  <c r="S37" i="9" s="1"/>
  <c r="AT37" i="9"/>
  <c r="AU37" i="9"/>
  <c r="AY37" i="9"/>
  <c r="AZ37" i="9"/>
  <c r="AZ38" i="9"/>
  <c r="AZ39" i="9"/>
  <c r="AA40" i="9"/>
  <c r="AZ40" i="9"/>
  <c r="AZ41" i="9"/>
  <c r="W42" i="9"/>
  <c r="AH42" i="9"/>
  <c r="AZ42" i="9"/>
  <c r="M43" i="9"/>
  <c r="W43" i="9"/>
  <c r="AZ43" i="9"/>
  <c r="W46" i="9"/>
  <c r="W47" i="9"/>
  <c r="W48" i="9"/>
  <c r="W49" i="9"/>
  <c r="W50" i="9"/>
  <c r="W51" i="9"/>
  <c r="M52" i="9"/>
  <c r="U52" i="9" s="1"/>
  <c r="W52" i="9"/>
  <c r="W53" i="9"/>
  <c r="W54" i="9"/>
  <c r="AE54" i="9"/>
  <c r="AF54" i="9" s="1"/>
  <c r="AH54" i="9" s="1"/>
  <c r="M53" i="9" s="1"/>
  <c r="W55" i="9"/>
  <c r="AE55" i="9"/>
  <c r="AF55" i="9" s="1"/>
  <c r="AH55" i="9" s="1"/>
  <c r="M54" i="9" s="1"/>
  <c r="W56" i="9"/>
  <c r="AF2" i="8"/>
  <c r="M4" i="8"/>
  <c r="U7" i="8"/>
  <c r="AB7" i="8"/>
  <c r="AC7" i="8"/>
  <c r="AE7" i="8"/>
  <c r="AI7" i="8"/>
  <c r="AJ7" i="8"/>
  <c r="AM7" i="8"/>
  <c r="AN7" i="8"/>
  <c r="AO7" i="8"/>
  <c r="AP7" i="8"/>
  <c r="T7" i="8" s="1"/>
  <c r="AQ7" i="8"/>
  <c r="Q7" i="8" s="1"/>
  <c r="AR7" i="8"/>
  <c r="R7" i="8" s="1"/>
  <c r="AS7" i="8"/>
  <c r="S7" i="8" s="1"/>
  <c r="AT7" i="8"/>
  <c r="AU7" i="8"/>
  <c r="AW7" i="8"/>
  <c r="AY7" i="8"/>
  <c r="AZ7" i="8"/>
  <c r="U8" i="8"/>
  <c r="AB8" i="8"/>
  <c r="AC8" i="8"/>
  <c r="AE8" i="8"/>
  <c r="AI8" i="8"/>
  <c r="AJ8" i="8"/>
  <c r="AK8" i="8"/>
  <c r="AM8" i="8"/>
  <c r="AN8" i="8"/>
  <c r="AO8" i="8"/>
  <c r="AP8" i="8"/>
  <c r="T8" i="8" s="1"/>
  <c r="AQ8" i="8"/>
  <c r="Q8" i="8" s="1"/>
  <c r="AR8" i="8"/>
  <c r="R8" i="8" s="1"/>
  <c r="AS8" i="8"/>
  <c r="S8" i="8" s="1"/>
  <c r="AT8" i="8"/>
  <c r="AU8" i="8"/>
  <c r="AY8" i="8"/>
  <c r="AZ8" i="8"/>
  <c r="U9" i="8"/>
  <c r="AB9" i="8"/>
  <c r="AC9" i="8"/>
  <c r="AE9" i="8"/>
  <c r="AI9" i="8"/>
  <c r="AJ9" i="8"/>
  <c r="AM9" i="8"/>
  <c r="AN9" i="8"/>
  <c r="AO9" i="8"/>
  <c r="AP9" i="8"/>
  <c r="T9" i="8" s="1"/>
  <c r="AQ9" i="8"/>
  <c r="Q9" i="8" s="1"/>
  <c r="AR9" i="8"/>
  <c r="R9" i="8" s="1"/>
  <c r="AS9" i="8"/>
  <c r="S9" i="8" s="1"/>
  <c r="AT9" i="8"/>
  <c r="AU9" i="8"/>
  <c r="AY9" i="8"/>
  <c r="AZ9" i="8"/>
  <c r="U10" i="8"/>
  <c r="AB10" i="8"/>
  <c r="AC10" i="8"/>
  <c r="AE10" i="8"/>
  <c r="AI10" i="8"/>
  <c r="AJ10" i="8"/>
  <c r="AM10" i="8"/>
  <c r="AN10" i="8"/>
  <c r="AO10" i="8"/>
  <c r="AP10" i="8"/>
  <c r="T10" i="8" s="1"/>
  <c r="AQ10" i="8"/>
  <c r="Q10" i="8" s="1"/>
  <c r="AR10" i="8"/>
  <c r="R10" i="8" s="1"/>
  <c r="AS10" i="8"/>
  <c r="S10" i="8" s="1"/>
  <c r="AT10" i="8"/>
  <c r="AU10" i="8"/>
  <c r="AY10" i="8"/>
  <c r="AZ10" i="8"/>
  <c r="AK11" i="8"/>
  <c r="U11" i="8"/>
  <c r="AB11" i="8"/>
  <c r="AC11" i="8"/>
  <c r="AE11" i="8"/>
  <c r="AI11" i="8"/>
  <c r="AJ11" i="8"/>
  <c r="AM11" i="8"/>
  <c r="AN11" i="8"/>
  <c r="AO11" i="8"/>
  <c r="AP11" i="8"/>
  <c r="T11" i="8" s="1"/>
  <c r="AQ11" i="8"/>
  <c r="Q11" i="8" s="1"/>
  <c r="AR11" i="8"/>
  <c r="R11" i="8" s="1"/>
  <c r="AS11" i="8"/>
  <c r="S11" i="8" s="1"/>
  <c r="AT11" i="8"/>
  <c r="AU11" i="8"/>
  <c r="AY11" i="8"/>
  <c r="AZ11" i="8"/>
  <c r="U12" i="8"/>
  <c r="AB12" i="8"/>
  <c r="AC12" i="8"/>
  <c r="AE12" i="8"/>
  <c r="AI12" i="8"/>
  <c r="AJ12" i="8"/>
  <c r="L12" i="8" s="1"/>
  <c r="AK12" i="8"/>
  <c r="AM12" i="8"/>
  <c r="AN12" i="8"/>
  <c r="AO12" i="8"/>
  <c r="AP12" i="8"/>
  <c r="T12" i="8" s="1"/>
  <c r="AQ12" i="8"/>
  <c r="Q12" i="8" s="1"/>
  <c r="AR12" i="8"/>
  <c r="R12" i="8" s="1"/>
  <c r="AS12" i="8"/>
  <c r="S12" i="8" s="1"/>
  <c r="AT12" i="8"/>
  <c r="AU12" i="8"/>
  <c r="AY12" i="8"/>
  <c r="AZ12" i="8"/>
  <c r="U13" i="8"/>
  <c r="AK13" i="8"/>
  <c r="AB13" i="8"/>
  <c r="AC13" i="8"/>
  <c r="AE13" i="8"/>
  <c r="AI13" i="8"/>
  <c r="AJ13" i="8"/>
  <c r="AM13" i="8"/>
  <c r="AN13" i="8"/>
  <c r="AO13" i="8"/>
  <c r="AP13" i="8"/>
  <c r="T13" i="8" s="1"/>
  <c r="AQ13" i="8"/>
  <c r="Q13" i="8" s="1"/>
  <c r="AR13" i="8"/>
  <c r="R13" i="8" s="1"/>
  <c r="AS13" i="8"/>
  <c r="S13" i="8" s="1"/>
  <c r="AT13" i="8"/>
  <c r="AU13" i="8"/>
  <c r="AY13" i="8"/>
  <c r="U14" i="8"/>
  <c r="AK14" i="8"/>
  <c r="AB14" i="8"/>
  <c r="AC14" i="8"/>
  <c r="AE14" i="8"/>
  <c r="AI14" i="8"/>
  <c r="AJ14" i="8"/>
  <c r="AM14" i="8"/>
  <c r="AN14" i="8"/>
  <c r="AO14" i="8"/>
  <c r="L14" i="8" s="1"/>
  <c r="AP14" i="8"/>
  <c r="T14" i="8" s="1"/>
  <c r="AQ14" i="8"/>
  <c r="Q14" i="8" s="1"/>
  <c r="AR14" i="8"/>
  <c r="R14" i="8" s="1"/>
  <c r="AS14" i="8"/>
  <c r="S14" i="8" s="1"/>
  <c r="AT14" i="8"/>
  <c r="AU14" i="8"/>
  <c r="AY14" i="8"/>
  <c r="U15" i="8"/>
  <c r="AK15" i="8"/>
  <c r="AB15" i="8"/>
  <c r="AC15" i="8"/>
  <c r="AE15" i="8"/>
  <c r="AI15" i="8"/>
  <c r="AJ15" i="8"/>
  <c r="AM15" i="8"/>
  <c r="AN15" i="8"/>
  <c r="AO15" i="8"/>
  <c r="AP15" i="8"/>
  <c r="T15" i="8" s="1"/>
  <c r="AQ15" i="8"/>
  <c r="Q15" i="8" s="1"/>
  <c r="AR15" i="8"/>
  <c r="R15" i="8" s="1"/>
  <c r="AS15" i="8"/>
  <c r="S15" i="8" s="1"/>
  <c r="AT15" i="8"/>
  <c r="AU15" i="8"/>
  <c r="AY15" i="8"/>
  <c r="AZ15" i="8"/>
  <c r="U16" i="8"/>
  <c r="AB16" i="8"/>
  <c r="AC16" i="8"/>
  <c r="AE16" i="8"/>
  <c r="AI16" i="8"/>
  <c r="AJ16" i="8"/>
  <c r="AM16" i="8"/>
  <c r="AN16" i="8"/>
  <c r="AO16" i="8"/>
  <c r="AP16" i="8"/>
  <c r="T16" i="8" s="1"/>
  <c r="AQ16" i="8"/>
  <c r="Q16" i="8" s="1"/>
  <c r="AR16" i="8"/>
  <c r="R16" i="8" s="1"/>
  <c r="AS16" i="8"/>
  <c r="S16" i="8" s="1"/>
  <c r="AT16" i="8"/>
  <c r="AU16" i="8"/>
  <c r="AY16" i="8"/>
  <c r="AZ16" i="8"/>
  <c r="U17" i="8"/>
  <c r="AB17" i="8"/>
  <c r="AC17" i="8"/>
  <c r="AE17" i="8"/>
  <c r="AI17" i="8"/>
  <c r="AJ17" i="8"/>
  <c r="AM17" i="8"/>
  <c r="AN17" i="8"/>
  <c r="AO17" i="8"/>
  <c r="AP17" i="8"/>
  <c r="T17" i="8" s="1"/>
  <c r="AQ17" i="8"/>
  <c r="Q17" i="8" s="1"/>
  <c r="AR17" i="8"/>
  <c r="R17" i="8" s="1"/>
  <c r="AS17" i="8"/>
  <c r="S17" i="8" s="1"/>
  <c r="AT17" i="8"/>
  <c r="AU17" i="8"/>
  <c r="AY17" i="8"/>
  <c r="AZ17" i="8"/>
  <c r="U18" i="8"/>
  <c r="AB18" i="8"/>
  <c r="AC18" i="8"/>
  <c r="AE18" i="8"/>
  <c r="AI18" i="8"/>
  <c r="AJ18" i="8"/>
  <c r="AK18" i="8"/>
  <c r="AM18" i="8"/>
  <c r="AN18" i="8"/>
  <c r="AO18" i="8"/>
  <c r="AP18" i="8"/>
  <c r="T18" i="8" s="1"/>
  <c r="AQ18" i="8"/>
  <c r="Q18" i="8" s="1"/>
  <c r="AR18" i="8"/>
  <c r="R18" i="8" s="1"/>
  <c r="AS18" i="8"/>
  <c r="S18" i="8" s="1"/>
  <c r="AT18" i="8"/>
  <c r="AU18" i="8"/>
  <c r="AY18" i="8"/>
  <c r="AZ18" i="8"/>
  <c r="U19" i="8"/>
  <c r="AK19" i="8"/>
  <c r="AB19" i="8"/>
  <c r="AC19" i="8"/>
  <c r="AE19" i="8"/>
  <c r="AI19" i="8"/>
  <c r="AJ19" i="8"/>
  <c r="L19" i="8" s="1"/>
  <c r="AM19" i="8"/>
  <c r="AN19" i="8"/>
  <c r="AO19" i="8"/>
  <c r="AP19" i="8"/>
  <c r="T19" i="8" s="1"/>
  <c r="AQ19" i="8"/>
  <c r="Q19" i="8" s="1"/>
  <c r="AR19" i="8"/>
  <c r="R19" i="8" s="1"/>
  <c r="AS19" i="8"/>
  <c r="S19" i="8" s="1"/>
  <c r="AT19" i="8"/>
  <c r="AU19" i="8"/>
  <c r="AY19" i="8"/>
  <c r="AZ19" i="8"/>
  <c r="U20" i="8"/>
  <c r="AB20" i="8"/>
  <c r="AC20" i="8"/>
  <c r="AE20" i="8"/>
  <c r="AI20" i="8"/>
  <c r="AJ20" i="8"/>
  <c r="AK20" i="8"/>
  <c r="AM20" i="8"/>
  <c r="AN20" i="8"/>
  <c r="AO20" i="8"/>
  <c r="AP20" i="8"/>
  <c r="T20" i="8" s="1"/>
  <c r="AQ20" i="8"/>
  <c r="Q20" i="8" s="1"/>
  <c r="AR20" i="8"/>
  <c r="R20" i="8" s="1"/>
  <c r="AS20" i="8"/>
  <c r="S20" i="8" s="1"/>
  <c r="AT20" i="8"/>
  <c r="AU20" i="8"/>
  <c r="AY20" i="8"/>
  <c r="AZ20" i="8"/>
  <c r="U21" i="8"/>
  <c r="AK21" i="8"/>
  <c r="AB21" i="8"/>
  <c r="AC21" i="8"/>
  <c r="AE21" i="8"/>
  <c r="AI21" i="8"/>
  <c r="AJ21" i="8"/>
  <c r="AM21" i="8"/>
  <c r="AN21" i="8"/>
  <c r="AO21" i="8"/>
  <c r="AP21" i="8"/>
  <c r="T21" i="8" s="1"/>
  <c r="AQ21" i="8"/>
  <c r="Q21" i="8" s="1"/>
  <c r="AR21" i="8"/>
  <c r="R21" i="8" s="1"/>
  <c r="AS21" i="8"/>
  <c r="S21" i="8" s="1"/>
  <c r="AT21" i="8"/>
  <c r="AU21" i="8"/>
  <c r="AY21" i="8"/>
  <c r="U22" i="8"/>
  <c r="AB22" i="8"/>
  <c r="AC22" i="8"/>
  <c r="AE22" i="8"/>
  <c r="AI22" i="8"/>
  <c r="AJ22" i="8"/>
  <c r="AK22" i="8"/>
  <c r="AM22" i="8"/>
  <c r="AN22" i="8"/>
  <c r="AO22" i="8"/>
  <c r="AP22" i="8"/>
  <c r="T22" i="8" s="1"/>
  <c r="AQ22" i="8"/>
  <c r="Q22" i="8" s="1"/>
  <c r="AR22" i="8"/>
  <c r="R22" i="8" s="1"/>
  <c r="AS22" i="8"/>
  <c r="S22" i="8" s="1"/>
  <c r="AT22" i="8"/>
  <c r="AU22" i="8"/>
  <c r="AY22" i="8"/>
  <c r="AZ22" i="8"/>
  <c r="U23" i="8"/>
  <c r="AB23" i="8"/>
  <c r="AC23" i="8"/>
  <c r="AE23" i="8"/>
  <c r="AI23" i="8"/>
  <c r="AJ23" i="8"/>
  <c r="AM23" i="8"/>
  <c r="AN23" i="8"/>
  <c r="AO23" i="8"/>
  <c r="AP23" i="8"/>
  <c r="T23" i="8" s="1"/>
  <c r="AQ23" i="8"/>
  <c r="Q23" i="8" s="1"/>
  <c r="AR23" i="8"/>
  <c r="R23" i="8" s="1"/>
  <c r="AS23" i="8"/>
  <c r="S23" i="8" s="1"/>
  <c r="AT23" i="8"/>
  <c r="AU23" i="8"/>
  <c r="AY23" i="8"/>
  <c r="AZ23" i="8"/>
  <c r="U24" i="8"/>
  <c r="AB24" i="8"/>
  <c r="AC24" i="8"/>
  <c r="AE24" i="8"/>
  <c r="AI24" i="8"/>
  <c r="AJ24" i="8"/>
  <c r="AM24" i="8"/>
  <c r="AN24" i="8"/>
  <c r="AO24" i="8"/>
  <c r="AP24" i="8"/>
  <c r="T24" i="8" s="1"/>
  <c r="AQ24" i="8"/>
  <c r="Q24" i="8" s="1"/>
  <c r="AR24" i="8"/>
  <c r="R24" i="8" s="1"/>
  <c r="AS24" i="8"/>
  <c r="S24" i="8" s="1"/>
  <c r="AT24" i="8"/>
  <c r="AU24" i="8"/>
  <c r="AY24" i="8"/>
  <c r="AZ24" i="8"/>
  <c r="U25" i="8"/>
  <c r="AB25" i="8"/>
  <c r="AC25" i="8"/>
  <c r="AE25" i="8"/>
  <c r="AI25" i="8"/>
  <c r="AJ25" i="8"/>
  <c r="AM25" i="8"/>
  <c r="AN25" i="8"/>
  <c r="AO25" i="8"/>
  <c r="AP25" i="8"/>
  <c r="T25" i="8" s="1"/>
  <c r="AQ25" i="8"/>
  <c r="Q25" i="8" s="1"/>
  <c r="AR25" i="8"/>
  <c r="R25" i="8" s="1"/>
  <c r="AS25" i="8"/>
  <c r="S25" i="8" s="1"/>
  <c r="AT25" i="8"/>
  <c r="AU25" i="8"/>
  <c r="AY25" i="8"/>
  <c r="AZ25" i="8"/>
  <c r="U26" i="8"/>
  <c r="AK26" i="8"/>
  <c r="AB26" i="8"/>
  <c r="AC26" i="8"/>
  <c r="AE26" i="8"/>
  <c r="AI26" i="8"/>
  <c r="AJ26" i="8"/>
  <c r="L26" i="8" s="1"/>
  <c r="AM26" i="8"/>
  <c r="AN26" i="8"/>
  <c r="AO26" i="8"/>
  <c r="AP26" i="8"/>
  <c r="T26" i="8" s="1"/>
  <c r="AQ26" i="8"/>
  <c r="Q26" i="8" s="1"/>
  <c r="AR26" i="8"/>
  <c r="R26" i="8" s="1"/>
  <c r="AS26" i="8"/>
  <c r="S26" i="8" s="1"/>
  <c r="AT26" i="8"/>
  <c r="AU26" i="8"/>
  <c r="AY26" i="8"/>
  <c r="AZ26" i="8"/>
  <c r="U27" i="8"/>
  <c r="AK27" i="8"/>
  <c r="AB27" i="8"/>
  <c r="AC27" i="8"/>
  <c r="AE27" i="8"/>
  <c r="AI27" i="8"/>
  <c r="AJ27" i="8"/>
  <c r="AM27" i="8"/>
  <c r="AN27" i="8"/>
  <c r="AO27" i="8"/>
  <c r="AP27" i="8"/>
  <c r="T27" i="8" s="1"/>
  <c r="AQ27" i="8"/>
  <c r="Q27" i="8" s="1"/>
  <c r="AR27" i="8"/>
  <c r="R27" i="8" s="1"/>
  <c r="AS27" i="8"/>
  <c r="S27" i="8" s="1"/>
  <c r="AT27" i="8"/>
  <c r="AU27" i="8"/>
  <c r="AY27" i="8"/>
  <c r="AZ27" i="8"/>
  <c r="U28" i="8"/>
  <c r="AB28" i="8"/>
  <c r="AC28" i="8"/>
  <c r="AE28" i="8"/>
  <c r="AI28" i="8"/>
  <c r="AJ28" i="8"/>
  <c r="AK28" i="8"/>
  <c r="AM28" i="8"/>
  <c r="AN28" i="8"/>
  <c r="AO28" i="8"/>
  <c r="AP28" i="8"/>
  <c r="T28" i="8" s="1"/>
  <c r="AQ28" i="8"/>
  <c r="Q28" i="8" s="1"/>
  <c r="AR28" i="8"/>
  <c r="R28" i="8" s="1"/>
  <c r="AS28" i="8"/>
  <c r="S28" i="8" s="1"/>
  <c r="AT28" i="8"/>
  <c r="AU28" i="8"/>
  <c r="AY28" i="8"/>
  <c r="AZ28" i="8"/>
  <c r="U29" i="8"/>
  <c r="AK29" i="8"/>
  <c r="AB29" i="8"/>
  <c r="AC29" i="8"/>
  <c r="AE29" i="8"/>
  <c r="AI29" i="8"/>
  <c r="AJ29" i="8"/>
  <c r="AM29" i="8"/>
  <c r="AN29" i="8"/>
  <c r="AO29" i="8"/>
  <c r="AP29" i="8"/>
  <c r="T29" i="8" s="1"/>
  <c r="AQ29" i="8"/>
  <c r="Q29" i="8" s="1"/>
  <c r="AR29" i="8"/>
  <c r="R29" i="8" s="1"/>
  <c r="AS29" i="8"/>
  <c r="S29" i="8" s="1"/>
  <c r="AT29" i="8"/>
  <c r="AU29" i="8"/>
  <c r="AY29" i="8"/>
  <c r="AZ29" i="8"/>
  <c r="U30" i="8"/>
  <c r="AB30" i="8"/>
  <c r="AC30" i="8"/>
  <c r="AE30" i="8"/>
  <c r="AI30" i="8"/>
  <c r="AJ30" i="8"/>
  <c r="AM30" i="8"/>
  <c r="AN30" i="8"/>
  <c r="AO30" i="8"/>
  <c r="AP30" i="8"/>
  <c r="T30" i="8" s="1"/>
  <c r="AQ30" i="8"/>
  <c r="Q30" i="8" s="1"/>
  <c r="AR30" i="8"/>
  <c r="R30" i="8" s="1"/>
  <c r="AS30" i="8"/>
  <c r="S30" i="8" s="1"/>
  <c r="AT30" i="8"/>
  <c r="AU30" i="8"/>
  <c r="AY30" i="8"/>
  <c r="AZ30" i="8"/>
  <c r="U31" i="8"/>
  <c r="AB31" i="8"/>
  <c r="AC31" i="8"/>
  <c r="AD31" i="8" s="1"/>
  <c r="AH31" i="8" s="1"/>
  <c r="AE31" i="8"/>
  <c r="AI31" i="8"/>
  <c r="AJ31" i="8"/>
  <c r="AM31" i="8"/>
  <c r="AN31" i="8"/>
  <c r="AO31" i="8"/>
  <c r="AP31" i="8"/>
  <c r="T31" i="8" s="1"/>
  <c r="AQ31" i="8"/>
  <c r="Q31" i="8" s="1"/>
  <c r="AR31" i="8"/>
  <c r="R31" i="8" s="1"/>
  <c r="AS31" i="8"/>
  <c r="S31" i="8" s="1"/>
  <c r="AT31" i="8"/>
  <c r="AU31" i="8"/>
  <c r="AY31" i="8"/>
  <c r="AZ31" i="8"/>
  <c r="U32" i="8"/>
  <c r="AB32" i="8"/>
  <c r="AC32" i="8"/>
  <c r="AE32" i="8"/>
  <c r="AI32" i="8"/>
  <c r="AJ32" i="8"/>
  <c r="AM32" i="8"/>
  <c r="AN32" i="8"/>
  <c r="AO32" i="8"/>
  <c r="AP32" i="8"/>
  <c r="T32" i="8" s="1"/>
  <c r="AQ32" i="8"/>
  <c r="Q32" i="8" s="1"/>
  <c r="AR32" i="8"/>
  <c r="R32" i="8" s="1"/>
  <c r="AS32" i="8"/>
  <c r="S32" i="8" s="1"/>
  <c r="AT32" i="8"/>
  <c r="AU32" i="8"/>
  <c r="AY32" i="8"/>
  <c r="AZ32" i="8"/>
  <c r="U33" i="8"/>
  <c r="AK33" i="8"/>
  <c r="AB33" i="8"/>
  <c r="AC33" i="8"/>
  <c r="AE33" i="8"/>
  <c r="AI33" i="8"/>
  <c r="AJ33" i="8"/>
  <c r="L33" i="8" s="1"/>
  <c r="AM33" i="8"/>
  <c r="AN33" i="8"/>
  <c r="AO33" i="8"/>
  <c r="AP33" i="8"/>
  <c r="T33" i="8" s="1"/>
  <c r="AQ33" i="8"/>
  <c r="Q33" i="8" s="1"/>
  <c r="AR33" i="8"/>
  <c r="R33" i="8" s="1"/>
  <c r="AS33" i="8"/>
  <c r="S33" i="8" s="1"/>
  <c r="AT33" i="8"/>
  <c r="AU33" i="8"/>
  <c r="AY33" i="8"/>
  <c r="AZ33" i="8"/>
  <c r="U34" i="8"/>
  <c r="AK34" i="8"/>
  <c r="AB34" i="8"/>
  <c r="AC34" i="8"/>
  <c r="AE34" i="8"/>
  <c r="AF34" i="8" s="1"/>
  <c r="W34" i="8" s="1"/>
  <c r="AI34" i="8"/>
  <c r="AJ34" i="8"/>
  <c r="AM34" i="8"/>
  <c r="AN34" i="8"/>
  <c r="AO34" i="8"/>
  <c r="L34" i="8" s="1"/>
  <c r="AP34" i="8"/>
  <c r="T34" i="8" s="1"/>
  <c r="AQ34" i="8"/>
  <c r="Q34" i="8" s="1"/>
  <c r="AR34" i="8"/>
  <c r="R34" i="8" s="1"/>
  <c r="AS34" i="8"/>
  <c r="S34" i="8" s="1"/>
  <c r="AT34" i="8"/>
  <c r="AU34" i="8"/>
  <c r="AY34" i="8"/>
  <c r="AZ34" i="8"/>
  <c r="U35" i="8"/>
  <c r="AK35" i="8"/>
  <c r="AB35" i="8"/>
  <c r="AF35" i="8" s="1"/>
  <c r="W35" i="8" s="1"/>
  <c r="AC35" i="8"/>
  <c r="AE35" i="8"/>
  <c r="AI35" i="8"/>
  <c r="AJ35" i="8"/>
  <c r="AM35" i="8"/>
  <c r="AN35" i="8"/>
  <c r="AO35" i="8"/>
  <c r="L35" i="8" s="1"/>
  <c r="AP35" i="8"/>
  <c r="T35" i="8" s="1"/>
  <c r="AQ35" i="8"/>
  <c r="Q35" i="8" s="1"/>
  <c r="AR35" i="8"/>
  <c r="R35" i="8" s="1"/>
  <c r="AS35" i="8"/>
  <c r="S35" i="8" s="1"/>
  <c r="AT35" i="8"/>
  <c r="AU35" i="8"/>
  <c r="AY35" i="8"/>
  <c r="AZ35" i="8"/>
  <c r="U36" i="8"/>
  <c r="AK36" i="8"/>
  <c r="AB36" i="8"/>
  <c r="AC36" i="8"/>
  <c r="AE36" i="8"/>
  <c r="AI36" i="8"/>
  <c r="AJ36" i="8"/>
  <c r="AM36" i="8"/>
  <c r="AN36" i="8"/>
  <c r="AO36" i="8"/>
  <c r="AP36" i="8"/>
  <c r="T36" i="8" s="1"/>
  <c r="AQ36" i="8"/>
  <c r="Q36" i="8" s="1"/>
  <c r="AR36" i="8"/>
  <c r="R36" i="8" s="1"/>
  <c r="AS36" i="8"/>
  <c r="S36" i="8" s="1"/>
  <c r="AT36" i="8"/>
  <c r="AU36" i="8"/>
  <c r="AY36" i="8"/>
  <c r="AZ36" i="8"/>
  <c r="AZ37" i="8"/>
  <c r="AZ38" i="8"/>
  <c r="AA39" i="8"/>
  <c r="AZ39" i="8"/>
  <c r="AZ40" i="8"/>
  <c r="W41" i="8"/>
  <c r="AH41" i="8"/>
  <c r="AZ41" i="8"/>
  <c r="M42" i="8"/>
  <c r="W42" i="8"/>
  <c r="AZ42" i="8"/>
  <c r="AZ43" i="8"/>
  <c r="W45" i="8"/>
  <c r="W46" i="8"/>
  <c r="W47" i="8"/>
  <c r="W48" i="8"/>
  <c r="W49" i="8"/>
  <c r="W50" i="8"/>
  <c r="M51" i="8"/>
  <c r="U51" i="8" s="1"/>
  <c r="W51" i="8"/>
  <c r="W52" i="8"/>
  <c r="W53" i="8"/>
  <c r="AE53" i="8"/>
  <c r="AF53" i="8" s="1"/>
  <c r="AH53" i="8" s="1"/>
  <c r="M52" i="8" s="1"/>
  <c r="W54" i="8"/>
  <c r="AE54" i="8"/>
  <c r="AF54" i="8" s="1"/>
  <c r="AH54" i="8" s="1"/>
  <c r="M53" i="8" s="1"/>
  <c r="W55" i="8"/>
  <c r="AF2" i="7"/>
  <c r="M4" i="7"/>
  <c r="U7" i="7"/>
  <c r="AB7" i="7"/>
  <c r="AC7" i="7"/>
  <c r="AE7" i="7"/>
  <c r="AI7" i="7"/>
  <c r="AJ7" i="7"/>
  <c r="AM7" i="7"/>
  <c r="AN7" i="7"/>
  <c r="AO7" i="7"/>
  <c r="AP7" i="7"/>
  <c r="T7" i="7" s="1"/>
  <c r="AQ7" i="7"/>
  <c r="Q7" i="7" s="1"/>
  <c r="AR7" i="7"/>
  <c r="R7" i="7" s="1"/>
  <c r="AS7" i="7"/>
  <c r="S7" i="7" s="1"/>
  <c r="AT7" i="7"/>
  <c r="AU7" i="7"/>
  <c r="AY7" i="7"/>
  <c r="AZ7" i="7"/>
  <c r="U8" i="7"/>
  <c r="AB8" i="7"/>
  <c r="AC8" i="7"/>
  <c r="AE8" i="7"/>
  <c r="AI8" i="7"/>
  <c r="AJ8" i="7"/>
  <c r="L8" i="7" s="1"/>
  <c r="AK8" i="7"/>
  <c r="AM8" i="7"/>
  <c r="AN8" i="7"/>
  <c r="AO8" i="7"/>
  <c r="AP8" i="7"/>
  <c r="T8" i="7" s="1"/>
  <c r="AQ8" i="7"/>
  <c r="Q8" i="7" s="1"/>
  <c r="AR8" i="7"/>
  <c r="R8" i="7" s="1"/>
  <c r="AS8" i="7"/>
  <c r="S8" i="7" s="1"/>
  <c r="AT8" i="7"/>
  <c r="AU8" i="7"/>
  <c r="AV8" i="7"/>
  <c r="AY8" i="7"/>
  <c r="AZ8" i="7"/>
  <c r="U9" i="7"/>
  <c r="AK9" i="7"/>
  <c r="AB9" i="7"/>
  <c r="AC9" i="7"/>
  <c r="AE9" i="7"/>
  <c r="AI9" i="7"/>
  <c r="AJ9" i="7"/>
  <c r="AM9" i="7"/>
  <c r="AN9" i="7"/>
  <c r="AO9" i="7"/>
  <c r="AP9" i="7"/>
  <c r="T9" i="7" s="1"/>
  <c r="AQ9" i="7"/>
  <c r="Q9" i="7" s="1"/>
  <c r="AR9" i="7"/>
  <c r="R9" i="7" s="1"/>
  <c r="AS9" i="7"/>
  <c r="S9" i="7" s="1"/>
  <c r="AT9" i="7"/>
  <c r="AU9" i="7"/>
  <c r="AY9" i="7"/>
  <c r="AZ9" i="7"/>
  <c r="U10" i="7"/>
  <c r="AK10" i="7"/>
  <c r="AB10" i="7"/>
  <c r="AC10" i="7"/>
  <c r="AE10" i="7"/>
  <c r="AI10" i="7"/>
  <c r="AJ10" i="7"/>
  <c r="AM10" i="7"/>
  <c r="AN10" i="7"/>
  <c r="AO10" i="7"/>
  <c r="L10" i="7" s="1"/>
  <c r="AP10" i="7"/>
  <c r="T10" i="7" s="1"/>
  <c r="AQ10" i="7"/>
  <c r="Q10" i="7" s="1"/>
  <c r="AR10" i="7"/>
  <c r="R10" i="7" s="1"/>
  <c r="AS10" i="7"/>
  <c r="S10" i="7" s="1"/>
  <c r="AT10" i="7"/>
  <c r="AU10" i="7"/>
  <c r="AY10" i="7"/>
  <c r="AZ10" i="7"/>
  <c r="U11" i="7"/>
  <c r="AK11" i="7"/>
  <c r="AB11" i="7"/>
  <c r="AF11" i="7" s="1"/>
  <c r="W11" i="7" s="1"/>
  <c r="AC11" i="7"/>
  <c r="AE11" i="7"/>
  <c r="AI11" i="7"/>
  <c r="AJ11" i="7"/>
  <c r="AM11" i="7"/>
  <c r="AN11" i="7"/>
  <c r="AO11" i="7"/>
  <c r="AP11" i="7"/>
  <c r="T11" i="7" s="1"/>
  <c r="AQ11" i="7"/>
  <c r="Q11" i="7" s="1"/>
  <c r="AR11" i="7"/>
  <c r="R11" i="7" s="1"/>
  <c r="AS11" i="7"/>
  <c r="S11" i="7" s="1"/>
  <c r="AT11" i="7"/>
  <c r="AU11" i="7"/>
  <c r="AY11" i="7"/>
  <c r="AZ11" i="7"/>
  <c r="U12" i="7"/>
  <c r="AB12" i="7"/>
  <c r="AD12" i="7" s="1"/>
  <c r="AH12" i="7" s="1"/>
  <c r="AC12" i="7"/>
  <c r="AE12" i="7"/>
  <c r="AI12" i="7"/>
  <c r="AJ12" i="7"/>
  <c r="AM12" i="7"/>
  <c r="AN12" i="7"/>
  <c r="AO12" i="7"/>
  <c r="AP12" i="7"/>
  <c r="T12" i="7" s="1"/>
  <c r="AQ12" i="7"/>
  <c r="Q12" i="7" s="1"/>
  <c r="AR12" i="7"/>
  <c r="R12" i="7" s="1"/>
  <c r="AS12" i="7"/>
  <c r="S12" i="7" s="1"/>
  <c r="AT12" i="7"/>
  <c r="AU12" i="7"/>
  <c r="AY12" i="7"/>
  <c r="AZ12" i="7"/>
  <c r="U13" i="7"/>
  <c r="AB13" i="7"/>
  <c r="AC13" i="7"/>
  <c r="AE13" i="7"/>
  <c r="AI13" i="7"/>
  <c r="AJ13" i="7"/>
  <c r="AM13" i="7"/>
  <c r="AN13" i="7"/>
  <c r="AO13" i="7"/>
  <c r="AP13" i="7"/>
  <c r="T13" i="7" s="1"/>
  <c r="AQ13" i="7"/>
  <c r="Q13" i="7" s="1"/>
  <c r="AR13" i="7"/>
  <c r="R13" i="7" s="1"/>
  <c r="AS13" i="7"/>
  <c r="S13" i="7" s="1"/>
  <c r="AT13" i="7"/>
  <c r="AU13" i="7"/>
  <c r="AY13" i="7"/>
  <c r="U14" i="7"/>
  <c r="AK14" i="7"/>
  <c r="AB14" i="7"/>
  <c r="AC14" i="7"/>
  <c r="AE14" i="7"/>
  <c r="AI14" i="7"/>
  <c r="AJ14" i="7"/>
  <c r="AM14" i="7"/>
  <c r="AN14" i="7"/>
  <c r="AO14" i="7"/>
  <c r="AP14" i="7"/>
  <c r="T14" i="7" s="1"/>
  <c r="AQ14" i="7"/>
  <c r="Q14" i="7" s="1"/>
  <c r="AR14" i="7"/>
  <c r="R14" i="7" s="1"/>
  <c r="AS14" i="7"/>
  <c r="S14" i="7" s="1"/>
  <c r="AT14" i="7"/>
  <c r="AU14" i="7"/>
  <c r="AY14" i="7"/>
  <c r="U15" i="7"/>
  <c r="AK15" i="7"/>
  <c r="AB15" i="7"/>
  <c r="AC15" i="7"/>
  <c r="AE15" i="7"/>
  <c r="AI15" i="7"/>
  <c r="AJ15" i="7"/>
  <c r="L15" i="7" s="1"/>
  <c r="AM15" i="7"/>
  <c r="AN15" i="7"/>
  <c r="AO15" i="7"/>
  <c r="AP15" i="7"/>
  <c r="T15" i="7" s="1"/>
  <c r="AQ15" i="7"/>
  <c r="Q15" i="7" s="1"/>
  <c r="AR15" i="7"/>
  <c r="R15" i="7" s="1"/>
  <c r="AS15" i="7"/>
  <c r="S15" i="7" s="1"/>
  <c r="AT15" i="7"/>
  <c r="AU15" i="7"/>
  <c r="AY15" i="7"/>
  <c r="AZ15" i="7"/>
  <c r="U16" i="7"/>
  <c r="AK16" i="7"/>
  <c r="AB16" i="7"/>
  <c r="AC16" i="7"/>
  <c r="AE16" i="7"/>
  <c r="AI16" i="7"/>
  <c r="AJ16" i="7"/>
  <c r="AM16" i="7"/>
  <c r="AN16" i="7"/>
  <c r="AO16" i="7"/>
  <c r="L16" i="7" s="1"/>
  <c r="AP16" i="7"/>
  <c r="T16" i="7" s="1"/>
  <c r="AQ16" i="7"/>
  <c r="Q16" i="7" s="1"/>
  <c r="AR16" i="7"/>
  <c r="R16" i="7" s="1"/>
  <c r="AS16" i="7"/>
  <c r="S16" i="7" s="1"/>
  <c r="AT16" i="7"/>
  <c r="AU16" i="7"/>
  <c r="AY16" i="7"/>
  <c r="AZ16" i="7"/>
  <c r="U17" i="7"/>
  <c r="AB17" i="7"/>
  <c r="AC17" i="7"/>
  <c r="AE17" i="7"/>
  <c r="AI17" i="7"/>
  <c r="AJ17" i="7"/>
  <c r="AK17" i="7"/>
  <c r="AM17" i="7"/>
  <c r="AN17" i="7"/>
  <c r="AO17" i="7"/>
  <c r="AP17" i="7"/>
  <c r="T17" i="7" s="1"/>
  <c r="AQ17" i="7"/>
  <c r="Q17" i="7" s="1"/>
  <c r="AR17" i="7"/>
  <c r="R17" i="7" s="1"/>
  <c r="AS17" i="7"/>
  <c r="S17" i="7" s="1"/>
  <c r="AT17" i="7"/>
  <c r="AU17" i="7"/>
  <c r="AY17" i="7"/>
  <c r="AZ17" i="7"/>
  <c r="U18" i="7"/>
  <c r="AB18" i="7"/>
  <c r="AC18" i="7"/>
  <c r="AE18" i="7"/>
  <c r="AI18" i="7"/>
  <c r="AJ18" i="7"/>
  <c r="AK18" i="7"/>
  <c r="AM18" i="7"/>
  <c r="AN18" i="7"/>
  <c r="AO18" i="7"/>
  <c r="AP18" i="7"/>
  <c r="T18" i="7" s="1"/>
  <c r="AQ18" i="7"/>
  <c r="Q18" i="7" s="1"/>
  <c r="AR18" i="7"/>
  <c r="R18" i="7" s="1"/>
  <c r="AS18" i="7"/>
  <c r="S18" i="7" s="1"/>
  <c r="AT18" i="7"/>
  <c r="AU18" i="7"/>
  <c r="AY18" i="7"/>
  <c r="AZ18" i="7"/>
  <c r="U19" i="7"/>
  <c r="AB19" i="7"/>
  <c r="AC19" i="7"/>
  <c r="AE19" i="7"/>
  <c r="AI19" i="7"/>
  <c r="AJ19" i="7"/>
  <c r="AM19" i="7"/>
  <c r="AN19" i="7"/>
  <c r="AO19" i="7"/>
  <c r="AP19" i="7"/>
  <c r="T19" i="7" s="1"/>
  <c r="AQ19" i="7"/>
  <c r="Q19" i="7" s="1"/>
  <c r="AR19" i="7"/>
  <c r="R19" i="7" s="1"/>
  <c r="AS19" i="7"/>
  <c r="S19" i="7" s="1"/>
  <c r="AT19" i="7"/>
  <c r="AU19" i="7"/>
  <c r="AY19" i="7"/>
  <c r="AZ19" i="7"/>
  <c r="U20" i="7"/>
  <c r="AB20" i="7"/>
  <c r="AC20" i="7"/>
  <c r="AE20" i="7"/>
  <c r="AI20" i="7"/>
  <c r="AJ20" i="7"/>
  <c r="AM20" i="7"/>
  <c r="AN20" i="7"/>
  <c r="AO20" i="7"/>
  <c r="AP20" i="7"/>
  <c r="T20" i="7" s="1"/>
  <c r="AQ20" i="7"/>
  <c r="Q20" i="7" s="1"/>
  <c r="AR20" i="7"/>
  <c r="R20" i="7" s="1"/>
  <c r="AS20" i="7"/>
  <c r="S20" i="7" s="1"/>
  <c r="AT20" i="7"/>
  <c r="AU20" i="7"/>
  <c r="AY20" i="7"/>
  <c r="AZ20" i="7"/>
  <c r="U21" i="7"/>
  <c r="AB21" i="7"/>
  <c r="AC21" i="7"/>
  <c r="AE21" i="7"/>
  <c r="AI21" i="7"/>
  <c r="AJ21" i="7"/>
  <c r="AM21" i="7"/>
  <c r="AN21" i="7"/>
  <c r="AO21" i="7"/>
  <c r="AP21" i="7"/>
  <c r="T21" i="7" s="1"/>
  <c r="AQ21" i="7"/>
  <c r="Q21" i="7" s="1"/>
  <c r="AR21" i="7"/>
  <c r="R21" i="7" s="1"/>
  <c r="AS21" i="7"/>
  <c r="S21" i="7" s="1"/>
  <c r="AT21" i="7"/>
  <c r="AU21" i="7"/>
  <c r="AY21" i="7"/>
  <c r="U22" i="7"/>
  <c r="AK22" i="7"/>
  <c r="AB22" i="7"/>
  <c r="AC22" i="7"/>
  <c r="AE22" i="7"/>
  <c r="AI22" i="7"/>
  <c r="AJ22" i="7"/>
  <c r="L22" i="7" s="1"/>
  <c r="AM22" i="7"/>
  <c r="AN22" i="7"/>
  <c r="AO22" i="7"/>
  <c r="AP22" i="7"/>
  <c r="T22" i="7" s="1"/>
  <c r="AQ22" i="7"/>
  <c r="Q22" i="7" s="1"/>
  <c r="AR22" i="7"/>
  <c r="R22" i="7" s="1"/>
  <c r="AS22" i="7"/>
  <c r="S22" i="7" s="1"/>
  <c r="AT22" i="7"/>
  <c r="AU22" i="7"/>
  <c r="AY22" i="7"/>
  <c r="AZ22" i="7"/>
  <c r="U23" i="7"/>
  <c r="AK23" i="7"/>
  <c r="AB23" i="7"/>
  <c r="AC23" i="7"/>
  <c r="AE23" i="7"/>
  <c r="AI23" i="7"/>
  <c r="AJ23" i="7"/>
  <c r="AM23" i="7"/>
  <c r="AN23" i="7"/>
  <c r="AO23" i="7"/>
  <c r="L23" i="7" s="1"/>
  <c r="AP23" i="7"/>
  <c r="T23" i="7" s="1"/>
  <c r="AQ23" i="7"/>
  <c r="Q23" i="7" s="1"/>
  <c r="AR23" i="7"/>
  <c r="R23" i="7" s="1"/>
  <c r="AS23" i="7"/>
  <c r="S23" i="7" s="1"/>
  <c r="AT23" i="7"/>
  <c r="AU23" i="7"/>
  <c r="AY23" i="7"/>
  <c r="AZ23" i="7"/>
  <c r="U24" i="7"/>
  <c r="AB24" i="7"/>
  <c r="AC24" i="7"/>
  <c r="AE24" i="7"/>
  <c r="AI24" i="7"/>
  <c r="AJ24" i="7"/>
  <c r="AK24" i="7"/>
  <c r="AM24" i="7"/>
  <c r="AN24" i="7"/>
  <c r="AO24" i="7"/>
  <c r="AP24" i="7"/>
  <c r="T24" i="7" s="1"/>
  <c r="AQ24" i="7"/>
  <c r="Q24" i="7" s="1"/>
  <c r="AR24" i="7"/>
  <c r="R24" i="7" s="1"/>
  <c r="AS24" i="7"/>
  <c r="S24" i="7" s="1"/>
  <c r="AT24" i="7"/>
  <c r="AU24" i="7"/>
  <c r="AY24" i="7"/>
  <c r="AZ24" i="7"/>
  <c r="U25" i="7"/>
  <c r="AB25" i="7"/>
  <c r="AD25" i="7" s="1"/>
  <c r="AH25" i="7" s="1"/>
  <c r="AC25" i="7"/>
  <c r="AE25" i="7"/>
  <c r="AI25" i="7"/>
  <c r="AJ25" i="7"/>
  <c r="AK25" i="7"/>
  <c r="AM25" i="7"/>
  <c r="AN25" i="7"/>
  <c r="AO25" i="7"/>
  <c r="AP25" i="7"/>
  <c r="T25" i="7" s="1"/>
  <c r="AQ25" i="7"/>
  <c r="Q25" i="7" s="1"/>
  <c r="AR25" i="7"/>
  <c r="R25" i="7" s="1"/>
  <c r="AS25" i="7"/>
  <c r="S25" i="7" s="1"/>
  <c r="AT25" i="7"/>
  <c r="AU25" i="7"/>
  <c r="AY25" i="7"/>
  <c r="AZ25" i="7"/>
  <c r="U26" i="7"/>
  <c r="AB26" i="7"/>
  <c r="AC26" i="7"/>
  <c r="AE26" i="7"/>
  <c r="AI26" i="7"/>
  <c r="AJ26" i="7"/>
  <c r="AM26" i="7"/>
  <c r="AN26" i="7"/>
  <c r="AO26" i="7"/>
  <c r="AP26" i="7"/>
  <c r="T26" i="7" s="1"/>
  <c r="AQ26" i="7"/>
  <c r="Q26" i="7" s="1"/>
  <c r="AR26" i="7"/>
  <c r="R26" i="7" s="1"/>
  <c r="AS26" i="7"/>
  <c r="S26" i="7" s="1"/>
  <c r="AT26" i="7"/>
  <c r="AU26" i="7"/>
  <c r="AY26" i="7"/>
  <c r="AZ26" i="7"/>
  <c r="U27" i="7"/>
  <c r="AB27" i="7"/>
  <c r="AC27" i="7"/>
  <c r="AE27" i="7"/>
  <c r="AI27" i="7"/>
  <c r="AJ27" i="7"/>
  <c r="AM27" i="7"/>
  <c r="AN27" i="7"/>
  <c r="AO27" i="7"/>
  <c r="AP27" i="7"/>
  <c r="T27" i="7" s="1"/>
  <c r="AQ27" i="7"/>
  <c r="Q27" i="7" s="1"/>
  <c r="AR27" i="7"/>
  <c r="R27" i="7" s="1"/>
  <c r="AS27" i="7"/>
  <c r="S27" i="7" s="1"/>
  <c r="AT27" i="7"/>
  <c r="AU27" i="7"/>
  <c r="AY27" i="7"/>
  <c r="AZ27" i="7"/>
  <c r="U28" i="7"/>
  <c r="AK28" i="7"/>
  <c r="AB28" i="7"/>
  <c r="AC28" i="7"/>
  <c r="AE28" i="7"/>
  <c r="AI28" i="7"/>
  <c r="AJ28" i="7"/>
  <c r="AM28" i="7"/>
  <c r="AN28" i="7"/>
  <c r="AO28" i="7"/>
  <c r="AP28" i="7"/>
  <c r="T28" i="7" s="1"/>
  <c r="AQ28" i="7"/>
  <c r="Q28" i="7" s="1"/>
  <c r="AR28" i="7"/>
  <c r="R28" i="7" s="1"/>
  <c r="AS28" i="7"/>
  <c r="S28" i="7" s="1"/>
  <c r="AT28" i="7"/>
  <c r="AU28" i="7"/>
  <c r="AY28" i="7"/>
  <c r="AZ28" i="7"/>
  <c r="U29" i="7"/>
  <c r="AB29" i="7"/>
  <c r="AC29" i="7"/>
  <c r="AE29" i="7"/>
  <c r="AI29" i="7"/>
  <c r="AJ29" i="7"/>
  <c r="L29" i="7" s="1"/>
  <c r="AK29" i="7"/>
  <c r="AM29" i="7"/>
  <c r="AN29" i="7"/>
  <c r="AO29" i="7"/>
  <c r="AP29" i="7"/>
  <c r="T29" i="7" s="1"/>
  <c r="AQ29" i="7"/>
  <c r="Q29" i="7" s="1"/>
  <c r="AR29" i="7"/>
  <c r="R29" i="7" s="1"/>
  <c r="AS29" i="7"/>
  <c r="S29" i="7" s="1"/>
  <c r="AT29" i="7"/>
  <c r="AU29" i="7"/>
  <c r="AY29" i="7"/>
  <c r="AZ29" i="7"/>
  <c r="U30" i="7"/>
  <c r="AK30" i="7"/>
  <c r="AB30" i="7"/>
  <c r="AC30" i="7"/>
  <c r="AE30" i="7"/>
  <c r="AI30" i="7"/>
  <c r="AJ30" i="7"/>
  <c r="AM30" i="7"/>
  <c r="AN30" i="7"/>
  <c r="AO30" i="7"/>
  <c r="AP30" i="7"/>
  <c r="T30" i="7" s="1"/>
  <c r="AQ30" i="7"/>
  <c r="Q30" i="7" s="1"/>
  <c r="AR30" i="7"/>
  <c r="R30" i="7" s="1"/>
  <c r="AS30" i="7"/>
  <c r="S30" i="7" s="1"/>
  <c r="AT30" i="7"/>
  <c r="AU30" i="7"/>
  <c r="AY30" i="7"/>
  <c r="AZ30" i="7"/>
  <c r="U31" i="7"/>
  <c r="AK31" i="7"/>
  <c r="AB31" i="7"/>
  <c r="AC31" i="7"/>
  <c r="AE31" i="7"/>
  <c r="AI31" i="7"/>
  <c r="AJ31" i="7"/>
  <c r="AM31" i="7"/>
  <c r="AN31" i="7"/>
  <c r="AO31" i="7"/>
  <c r="L31" i="7" s="1"/>
  <c r="AP31" i="7"/>
  <c r="T31" i="7" s="1"/>
  <c r="AQ31" i="7"/>
  <c r="Q31" i="7" s="1"/>
  <c r="AR31" i="7"/>
  <c r="R31" i="7" s="1"/>
  <c r="AS31" i="7"/>
  <c r="S31" i="7" s="1"/>
  <c r="AT31" i="7"/>
  <c r="AU31" i="7"/>
  <c r="AY31" i="7"/>
  <c r="AZ31" i="7"/>
  <c r="U32" i="7"/>
  <c r="AK32" i="7"/>
  <c r="AB32" i="7"/>
  <c r="AC32" i="7"/>
  <c r="AE32" i="7"/>
  <c r="AI32" i="7"/>
  <c r="AJ32" i="7"/>
  <c r="AM32" i="7"/>
  <c r="AN32" i="7"/>
  <c r="AO32" i="7"/>
  <c r="AP32" i="7"/>
  <c r="T32" i="7" s="1"/>
  <c r="AQ32" i="7"/>
  <c r="Q32" i="7" s="1"/>
  <c r="AR32" i="7"/>
  <c r="R32" i="7" s="1"/>
  <c r="AS32" i="7"/>
  <c r="AT32" i="7"/>
  <c r="AU32" i="7"/>
  <c r="AY32" i="7"/>
  <c r="AZ32" i="7"/>
  <c r="U33" i="7"/>
  <c r="AB33" i="7"/>
  <c r="AC33" i="7"/>
  <c r="AE33" i="7"/>
  <c r="AI33" i="7"/>
  <c r="AJ33" i="7"/>
  <c r="AM33" i="7"/>
  <c r="AN33" i="7"/>
  <c r="AO33" i="7"/>
  <c r="AP33" i="7"/>
  <c r="T33" i="7" s="1"/>
  <c r="AQ33" i="7"/>
  <c r="Q33" i="7" s="1"/>
  <c r="AR33" i="7"/>
  <c r="R33" i="7" s="1"/>
  <c r="AS33" i="7"/>
  <c r="S33" i="7" s="1"/>
  <c r="AT33" i="7"/>
  <c r="AU33" i="7"/>
  <c r="AY33" i="7"/>
  <c r="AZ33" i="7"/>
  <c r="U34" i="7"/>
  <c r="AB34" i="7"/>
  <c r="AC34" i="7"/>
  <c r="AE34" i="7"/>
  <c r="AI34" i="7"/>
  <c r="AJ34" i="7"/>
  <c r="AM34" i="7"/>
  <c r="AN34" i="7"/>
  <c r="AO34" i="7"/>
  <c r="AP34" i="7"/>
  <c r="T34" i="7" s="1"/>
  <c r="AQ34" i="7"/>
  <c r="Q34" i="7" s="1"/>
  <c r="AR34" i="7"/>
  <c r="R34" i="7" s="1"/>
  <c r="AS34" i="7"/>
  <c r="S34" i="7" s="1"/>
  <c r="AT34" i="7"/>
  <c r="AU34" i="7"/>
  <c r="AY34" i="7"/>
  <c r="AZ34" i="7"/>
  <c r="U35" i="7"/>
  <c r="AB35" i="7"/>
  <c r="AC35" i="7"/>
  <c r="AE35" i="7"/>
  <c r="AI35" i="7"/>
  <c r="AJ35" i="7"/>
  <c r="AM35" i="7"/>
  <c r="AN35" i="7"/>
  <c r="AO35" i="7"/>
  <c r="AP35" i="7"/>
  <c r="T35" i="7" s="1"/>
  <c r="AQ35" i="7"/>
  <c r="Q35" i="7" s="1"/>
  <c r="AR35" i="7"/>
  <c r="R35" i="7" s="1"/>
  <c r="AS35" i="7"/>
  <c r="S35" i="7" s="1"/>
  <c r="AT35" i="7"/>
  <c r="AU35" i="7"/>
  <c r="AY35" i="7"/>
  <c r="AZ35" i="7"/>
  <c r="R36" i="7"/>
  <c r="U36" i="7"/>
  <c r="AB36" i="7"/>
  <c r="AC36" i="7"/>
  <c r="AE36" i="7"/>
  <c r="AI36" i="7"/>
  <c r="AJ36" i="7"/>
  <c r="L36" i="7" s="1"/>
  <c r="AK36" i="7"/>
  <c r="AM36" i="7"/>
  <c r="AN36" i="7"/>
  <c r="AO36" i="7"/>
  <c r="AP36" i="7"/>
  <c r="T36" i="7" s="1"/>
  <c r="AQ36" i="7"/>
  <c r="Q36" i="7" s="1"/>
  <c r="AR36" i="7"/>
  <c r="AS36" i="7"/>
  <c r="S36" i="7" s="1"/>
  <c r="AT36" i="7"/>
  <c r="AU36" i="7"/>
  <c r="AY36" i="7"/>
  <c r="AZ36" i="7"/>
  <c r="U37" i="7"/>
  <c r="AB37" i="7"/>
  <c r="AC37" i="7"/>
  <c r="AE37" i="7"/>
  <c r="AI37" i="7"/>
  <c r="AJ37" i="7"/>
  <c r="AK37" i="7"/>
  <c r="AM37" i="7"/>
  <c r="AN37" i="7"/>
  <c r="AO37" i="7"/>
  <c r="AP37" i="7"/>
  <c r="T37" i="7" s="1"/>
  <c r="AQ37" i="7"/>
  <c r="Q37" i="7" s="1"/>
  <c r="AR37" i="7"/>
  <c r="R37" i="7" s="1"/>
  <c r="AS37" i="7"/>
  <c r="S37" i="7" s="1"/>
  <c r="AT37" i="7"/>
  <c r="AU37" i="7"/>
  <c r="AY37" i="7"/>
  <c r="AZ37" i="7"/>
  <c r="AZ38" i="7"/>
  <c r="AZ39" i="7"/>
  <c r="AA40" i="7"/>
  <c r="AZ40" i="7"/>
  <c r="AZ41" i="7"/>
  <c r="W42" i="7"/>
  <c r="AH42" i="7"/>
  <c r="AZ42" i="7"/>
  <c r="M43" i="7"/>
  <c r="W43" i="7"/>
  <c r="AZ43" i="7"/>
  <c r="W46" i="7"/>
  <c r="W47" i="7"/>
  <c r="W48" i="7"/>
  <c r="W49" i="7"/>
  <c r="W50" i="7"/>
  <c r="W51" i="7"/>
  <c r="M52" i="7"/>
  <c r="U52" i="7" s="1"/>
  <c r="W52" i="7"/>
  <c r="W53" i="7"/>
  <c r="W54" i="7"/>
  <c r="AE54" i="7"/>
  <c r="AF54" i="7" s="1"/>
  <c r="AH54" i="7" s="1"/>
  <c r="M53" i="7" s="1"/>
  <c r="W55" i="7"/>
  <c r="AE55" i="7"/>
  <c r="AF55" i="7" s="1"/>
  <c r="AH55" i="7" s="1"/>
  <c r="M54" i="7" s="1"/>
  <c r="W56" i="7"/>
  <c r="AF2" i="5"/>
  <c r="M4" i="5"/>
  <c r="U7" i="5"/>
  <c r="AK7" i="5"/>
  <c r="AB7" i="5"/>
  <c r="AC7" i="5"/>
  <c r="AE7" i="5"/>
  <c r="AI7" i="5"/>
  <c r="AJ7" i="5"/>
  <c r="AM7" i="5"/>
  <c r="AN7" i="5"/>
  <c r="AO7" i="5"/>
  <c r="AP7" i="5"/>
  <c r="T7" i="5" s="1"/>
  <c r="AQ7" i="5"/>
  <c r="Q7" i="5" s="1"/>
  <c r="AR7" i="5"/>
  <c r="R7" i="5" s="1"/>
  <c r="AS7" i="5"/>
  <c r="S7" i="5" s="1"/>
  <c r="AT7" i="5"/>
  <c r="AU7" i="5"/>
  <c r="AY7" i="5"/>
  <c r="AZ7" i="5"/>
  <c r="U8" i="5"/>
  <c r="AK8" i="5"/>
  <c r="AB8" i="5"/>
  <c r="AC8" i="5"/>
  <c r="AE8" i="5"/>
  <c r="AI8" i="5"/>
  <c r="AJ8" i="5"/>
  <c r="AM8" i="5"/>
  <c r="AN8" i="5"/>
  <c r="AO8" i="5"/>
  <c r="AP8" i="5"/>
  <c r="T8" i="5" s="1"/>
  <c r="AQ8" i="5"/>
  <c r="Q8" i="5" s="1"/>
  <c r="AR8" i="5"/>
  <c r="R8" i="5" s="1"/>
  <c r="AS8" i="5"/>
  <c r="S8" i="5" s="1"/>
  <c r="AT8" i="5"/>
  <c r="AU8" i="5"/>
  <c r="AY8" i="5"/>
  <c r="AZ8" i="5"/>
  <c r="U9" i="5"/>
  <c r="AK9" i="5"/>
  <c r="AB9" i="5"/>
  <c r="AC9" i="5"/>
  <c r="AE9" i="5"/>
  <c r="AI9" i="5"/>
  <c r="AJ9" i="5"/>
  <c r="AM9" i="5"/>
  <c r="AN9" i="5"/>
  <c r="AO9" i="5"/>
  <c r="AP9" i="5"/>
  <c r="T9" i="5" s="1"/>
  <c r="AQ9" i="5"/>
  <c r="Q9" i="5" s="1"/>
  <c r="AR9" i="5"/>
  <c r="R9" i="5" s="1"/>
  <c r="AS9" i="5"/>
  <c r="S9" i="5" s="1"/>
  <c r="AT9" i="5"/>
  <c r="AU9" i="5"/>
  <c r="AY9" i="5"/>
  <c r="AZ9" i="5"/>
  <c r="U10" i="5"/>
  <c r="AB10" i="5"/>
  <c r="AC10" i="5"/>
  <c r="AE10" i="5"/>
  <c r="AI10" i="5"/>
  <c r="AJ10" i="5"/>
  <c r="AM10" i="5"/>
  <c r="AN10" i="5"/>
  <c r="AO10" i="5"/>
  <c r="AK10" i="5" s="1"/>
  <c r="AP10" i="5"/>
  <c r="T10" i="5" s="1"/>
  <c r="AQ10" i="5"/>
  <c r="Q10" i="5" s="1"/>
  <c r="AR10" i="5"/>
  <c r="R10" i="5" s="1"/>
  <c r="AS10" i="5"/>
  <c r="S10" i="5" s="1"/>
  <c r="AT10" i="5"/>
  <c r="AU10" i="5"/>
  <c r="AY10" i="5"/>
  <c r="AZ10" i="5"/>
  <c r="U11" i="5"/>
  <c r="AB11" i="5"/>
  <c r="AC11" i="5"/>
  <c r="AE11" i="5"/>
  <c r="AI11" i="5"/>
  <c r="AJ11" i="5"/>
  <c r="AM11" i="5"/>
  <c r="AN11" i="5"/>
  <c r="AO11" i="5"/>
  <c r="AP11" i="5"/>
  <c r="T11" i="5" s="1"/>
  <c r="AQ11" i="5"/>
  <c r="Q11" i="5" s="1"/>
  <c r="AR11" i="5"/>
  <c r="R11" i="5" s="1"/>
  <c r="AS11" i="5"/>
  <c r="S11" i="5" s="1"/>
  <c r="AT11" i="5"/>
  <c r="AU11" i="5"/>
  <c r="AY11" i="5"/>
  <c r="AZ11" i="5"/>
  <c r="U12" i="5"/>
  <c r="AB12" i="5"/>
  <c r="AC12" i="5"/>
  <c r="AE12" i="5"/>
  <c r="AI12" i="5"/>
  <c r="AJ12" i="5"/>
  <c r="AM12" i="5"/>
  <c r="AN12" i="5"/>
  <c r="AO12" i="5"/>
  <c r="AP12" i="5"/>
  <c r="T12" i="5" s="1"/>
  <c r="AQ12" i="5"/>
  <c r="Q12" i="5" s="1"/>
  <c r="AR12" i="5"/>
  <c r="R12" i="5" s="1"/>
  <c r="AS12" i="5"/>
  <c r="S12" i="5" s="1"/>
  <c r="AT12" i="5"/>
  <c r="AU12" i="5"/>
  <c r="AY12" i="5"/>
  <c r="AZ12" i="5"/>
  <c r="U13" i="5"/>
  <c r="AB13" i="5"/>
  <c r="AC13" i="5"/>
  <c r="AE13" i="5"/>
  <c r="AI13" i="5"/>
  <c r="AJ13" i="5"/>
  <c r="L13" i="5" s="1"/>
  <c r="AK13" i="5"/>
  <c r="AM13" i="5"/>
  <c r="AN13" i="5"/>
  <c r="AO13" i="5"/>
  <c r="AP13" i="5"/>
  <c r="T13" i="5" s="1"/>
  <c r="AQ13" i="5"/>
  <c r="Q13" i="5" s="1"/>
  <c r="AR13" i="5"/>
  <c r="R13" i="5" s="1"/>
  <c r="AS13" i="5"/>
  <c r="S13" i="5" s="1"/>
  <c r="AT13" i="5"/>
  <c r="AU13" i="5"/>
  <c r="AY13" i="5"/>
  <c r="U14" i="5"/>
  <c r="AK14" i="5"/>
  <c r="AB14" i="5"/>
  <c r="AC14" i="5"/>
  <c r="AE14" i="5"/>
  <c r="AI14" i="5"/>
  <c r="AJ14" i="5"/>
  <c r="AM14" i="5"/>
  <c r="AN14" i="5"/>
  <c r="AO14" i="5"/>
  <c r="AP14" i="5"/>
  <c r="T14" i="5" s="1"/>
  <c r="AQ14" i="5"/>
  <c r="Q14" i="5" s="1"/>
  <c r="AR14" i="5"/>
  <c r="R14" i="5" s="1"/>
  <c r="AS14" i="5"/>
  <c r="S14" i="5" s="1"/>
  <c r="AT14" i="5"/>
  <c r="AU14" i="5"/>
  <c r="AY14" i="5"/>
  <c r="U15" i="5"/>
  <c r="AB15" i="5"/>
  <c r="AC15" i="5"/>
  <c r="AE15" i="5"/>
  <c r="AI15" i="5"/>
  <c r="AJ15" i="5"/>
  <c r="AK15" i="5"/>
  <c r="AM15" i="5"/>
  <c r="AN15" i="5"/>
  <c r="AO15" i="5"/>
  <c r="AP15" i="5"/>
  <c r="T15" i="5" s="1"/>
  <c r="AQ15" i="5"/>
  <c r="Q15" i="5" s="1"/>
  <c r="AR15" i="5"/>
  <c r="R15" i="5" s="1"/>
  <c r="AS15" i="5"/>
  <c r="S15" i="5" s="1"/>
  <c r="AT15" i="5"/>
  <c r="AU15" i="5"/>
  <c r="AY15" i="5"/>
  <c r="AZ15" i="5"/>
  <c r="U16" i="5"/>
  <c r="AK16" i="5"/>
  <c r="AB16" i="5"/>
  <c r="AD16" i="5" s="1"/>
  <c r="AH16" i="5" s="1"/>
  <c r="AC16" i="5"/>
  <c r="AE16" i="5"/>
  <c r="AI16" i="5"/>
  <c r="AJ16" i="5"/>
  <c r="AM16" i="5"/>
  <c r="AN16" i="5"/>
  <c r="AO16" i="5"/>
  <c r="AP16" i="5"/>
  <c r="T16" i="5" s="1"/>
  <c r="AQ16" i="5"/>
  <c r="Q16" i="5" s="1"/>
  <c r="AR16" i="5"/>
  <c r="R16" i="5" s="1"/>
  <c r="AS16" i="5"/>
  <c r="S16" i="5" s="1"/>
  <c r="AT16" i="5"/>
  <c r="AU16" i="5"/>
  <c r="AY16" i="5"/>
  <c r="AZ16" i="5"/>
  <c r="U17" i="5"/>
  <c r="AK17" i="5"/>
  <c r="AB17" i="5"/>
  <c r="AC17" i="5"/>
  <c r="AE17" i="5"/>
  <c r="AI17" i="5"/>
  <c r="AJ17" i="5"/>
  <c r="L17" i="5" s="1"/>
  <c r="AM17" i="5"/>
  <c r="AN17" i="5"/>
  <c r="AO17" i="5"/>
  <c r="AP17" i="5"/>
  <c r="T17" i="5" s="1"/>
  <c r="AQ17" i="5"/>
  <c r="Q17" i="5" s="1"/>
  <c r="AR17" i="5"/>
  <c r="R17" i="5" s="1"/>
  <c r="AS17" i="5"/>
  <c r="S17" i="5" s="1"/>
  <c r="AT17" i="5"/>
  <c r="AU17" i="5"/>
  <c r="AY17" i="5"/>
  <c r="AZ17" i="5"/>
  <c r="AK18" i="5"/>
  <c r="U18" i="5"/>
  <c r="AB18" i="5"/>
  <c r="AC18" i="5"/>
  <c r="AE18" i="5"/>
  <c r="AI18" i="5"/>
  <c r="AJ18" i="5"/>
  <c r="AM18" i="5"/>
  <c r="AN18" i="5"/>
  <c r="AO18" i="5"/>
  <c r="AP18" i="5"/>
  <c r="T18" i="5" s="1"/>
  <c r="AQ18" i="5"/>
  <c r="Q18" i="5" s="1"/>
  <c r="AR18" i="5"/>
  <c r="R18" i="5" s="1"/>
  <c r="AS18" i="5"/>
  <c r="S18" i="5" s="1"/>
  <c r="AT18" i="5"/>
  <c r="AU18" i="5"/>
  <c r="AY18" i="5"/>
  <c r="AZ18" i="5"/>
  <c r="U19" i="5"/>
  <c r="AK19" i="5"/>
  <c r="AB19" i="5"/>
  <c r="AC19" i="5"/>
  <c r="AE19" i="5"/>
  <c r="AG19" i="5" s="1"/>
  <c r="X19" i="5" s="1"/>
  <c r="AI19" i="5"/>
  <c r="AJ19" i="5"/>
  <c r="AM19" i="5"/>
  <c r="AN19" i="5"/>
  <c r="AO19" i="5"/>
  <c r="AP19" i="5"/>
  <c r="T19" i="5" s="1"/>
  <c r="AQ19" i="5"/>
  <c r="Q19" i="5" s="1"/>
  <c r="AR19" i="5"/>
  <c r="AS19" i="5"/>
  <c r="S19" i="5" s="1"/>
  <c r="AT19" i="5"/>
  <c r="AU19" i="5"/>
  <c r="AY19" i="5"/>
  <c r="AZ19" i="5"/>
  <c r="U20" i="5"/>
  <c r="AK20" i="5"/>
  <c r="AB20" i="5"/>
  <c r="AC20" i="5"/>
  <c r="AE20" i="5"/>
  <c r="AI20" i="5"/>
  <c r="AJ20" i="5"/>
  <c r="L20" i="5" s="1"/>
  <c r="AM20" i="5"/>
  <c r="AN20" i="5"/>
  <c r="AO20" i="5"/>
  <c r="AP20" i="5"/>
  <c r="T20" i="5" s="1"/>
  <c r="AQ20" i="5"/>
  <c r="Q20" i="5" s="1"/>
  <c r="AR20" i="5"/>
  <c r="R20" i="5" s="1"/>
  <c r="AS20" i="5"/>
  <c r="S20" i="5" s="1"/>
  <c r="AT20" i="5"/>
  <c r="AU20" i="5"/>
  <c r="AY20" i="5"/>
  <c r="AZ20" i="5"/>
  <c r="U21" i="5"/>
  <c r="AK21" i="5"/>
  <c r="AB21" i="5"/>
  <c r="AC21" i="5"/>
  <c r="AE21" i="5"/>
  <c r="AI21" i="5"/>
  <c r="AJ21" i="5"/>
  <c r="AM21" i="5"/>
  <c r="AN21" i="5"/>
  <c r="AO21" i="5"/>
  <c r="AP21" i="5"/>
  <c r="T21" i="5" s="1"/>
  <c r="AQ21" i="5"/>
  <c r="Q21" i="5" s="1"/>
  <c r="AR21" i="5"/>
  <c r="R21" i="5" s="1"/>
  <c r="AS21" i="5"/>
  <c r="S21" i="5" s="1"/>
  <c r="AT21" i="5"/>
  <c r="AU21" i="5"/>
  <c r="AY21" i="5"/>
  <c r="U22" i="5"/>
  <c r="AK22" i="5"/>
  <c r="AB22" i="5"/>
  <c r="AC22" i="5"/>
  <c r="AE22" i="5"/>
  <c r="AI22" i="5"/>
  <c r="AJ22" i="5"/>
  <c r="AM22" i="5"/>
  <c r="AN22" i="5"/>
  <c r="AO22" i="5"/>
  <c r="AP22" i="5"/>
  <c r="T22" i="5" s="1"/>
  <c r="AQ22" i="5"/>
  <c r="Q22" i="5" s="1"/>
  <c r="AR22" i="5"/>
  <c r="R22" i="5" s="1"/>
  <c r="AS22" i="5"/>
  <c r="S22" i="5" s="1"/>
  <c r="AT22" i="5"/>
  <c r="AU22" i="5"/>
  <c r="AY22" i="5"/>
  <c r="AZ22" i="5"/>
  <c r="U23" i="5"/>
  <c r="AK23" i="5"/>
  <c r="AB23" i="5"/>
  <c r="AC23" i="5"/>
  <c r="AE23" i="5"/>
  <c r="AI23" i="5"/>
  <c r="AJ23" i="5"/>
  <c r="AM23" i="5"/>
  <c r="AN23" i="5"/>
  <c r="AO23" i="5"/>
  <c r="AP23" i="5"/>
  <c r="T23" i="5" s="1"/>
  <c r="AQ23" i="5"/>
  <c r="Q23" i="5" s="1"/>
  <c r="AR23" i="5"/>
  <c r="R23" i="5" s="1"/>
  <c r="AS23" i="5"/>
  <c r="S23" i="5" s="1"/>
  <c r="AT23" i="5"/>
  <c r="AU23" i="5"/>
  <c r="AY23" i="5"/>
  <c r="AZ23" i="5"/>
  <c r="U24" i="5"/>
  <c r="AK24" i="5"/>
  <c r="AB24" i="5"/>
  <c r="AC24" i="5"/>
  <c r="AE24" i="5"/>
  <c r="AI24" i="5"/>
  <c r="AJ24" i="5"/>
  <c r="AM24" i="5"/>
  <c r="AN24" i="5"/>
  <c r="AO24" i="5"/>
  <c r="AP24" i="5"/>
  <c r="T24" i="5" s="1"/>
  <c r="AQ24" i="5"/>
  <c r="Q24" i="5" s="1"/>
  <c r="AR24" i="5"/>
  <c r="R24" i="5" s="1"/>
  <c r="AS24" i="5"/>
  <c r="S24" i="5" s="1"/>
  <c r="AT24" i="5"/>
  <c r="AU24" i="5"/>
  <c r="AY24" i="5"/>
  <c r="AZ24" i="5"/>
  <c r="AK25" i="5"/>
  <c r="U25" i="5"/>
  <c r="AB25" i="5"/>
  <c r="AC25" i="5"/>
  <c r="AE25" i="5"/>
  <c r="AI25" i="5"/>
  <c r="AJ25" i="5"/>
  <c r="AM25" i="5"/>
  <c r="AN25" i="5"/>
  <c r="AO25" i="5"/>
  <c r="AP25" i="5"/>
  <c r="T25" i="5" s="1"/>
  <c r="AQ25" i="5"/>
  <c r="Q25" i="5" s="1"/>
  <c r="AR25" i="5"/>
  <c r="R25" i="5" s="1"/>
  <c r="AS25" i="5"/>
  <c r="S25" i="5" s="1"/>
  <c r="AT25" i="5"/>
  <c r="AU25" i="5"/>
  <c r="AY25" i="5"/>
  <c r="AZ25" i="5"/>
  <c r="AK26" i="5"/>
  <c r="U26" i="5"/>
  <c r="AB26" i="5"/>
  <c r="AC26" i="5"/>
  <c r="AE26" i="5"/>
  <c r="AI26" i="5"/>
  <c r="AJ26" i="5"/>
  <c r="AM26" i="5"/>
  <c r="AN26" i="5"/>
  <c r="AO26" i="5"/>
  <c r="AP26" i="5"/>
  <c r="T26" i="5" s="1"/>
  <c r="AQ26" i="5"/>
  <c r="AR26" i="5"/>
  <c r="R26" i="5" s="1"/>
  <c r="AS26" i="5"/>
  <c r="S26" i="5" s="1"/>
  <c r="AT26" i="5"/>
  <c r="AU26" i="5"/>
  <c r="AY26" i="5"/>
  <c r="AZ26" i="5"/>
  <c r="U27" i="5"/>
  <c r="AK27" i="5"/>
  <c r="AB27" i="5"/>
  <c r="AC27" i="5"/>
  <c r="AE27" i="5"/>
  <c r="AI27" i="5"/>
  <c r="AJ27" i="5"/>
  <c r="L27" i="5" s="1"/>
  <c r="AM27" i="5"/>
  <c r="AN27" i="5"/>
  <c r="AO27" i="5"/>
  <c r="AP27" i="5"/>
  <c r="T27" i="5" s="1"/>
  <c r="AQ27" i="5"/>
  <c r="Q27" i="5" s="1"/>
  <c r="AR27" i="5"/>
  <c r="R27" i="5" s="1"/>
  <c r="AS27" i="5"/>
  <c r="S27" i="5" s="1"/>
  <c r="AT27" i="5"/>
  <c r="AU27" i="5"/>
  <c r="AY27" i="5"/>
  <c r="AZ27" i="5"/>
  <c r="U28" i="5"/>
  <c r="AK28" i="5"/>
  <c r="AB28" i="5"/>
  <c r="AC28" i="5"/>
  <c r="AE28" i="5"/>
  <c r="AI28" i="5"/>
  <c r="AJ28" i="5"/>
  <c r="AM28" i="5"/>
  <c r="AN28" i="5"/>
  <c r="AO28" i="5"/>
  <c r="AP28" i="5"/>
  <c r="T28" i="5" s="1"/>
  <c r="AQ28" i="5"/>
  <c r="Q28" i="5" s="1"/>
  <c r="AR28" i="5"/>
  <c r="R28" i="5" s="1"/>
  <c r="AS28" i="5"/>
  <c r="S28" i="5" s="1"/>
  <c r="AT28" i="5"/>
  <c r="AU28" i="5"/>
  <c r="AY28" i="5"/>
  <c r="AZ28" i="5"/>
  <c r="U29" i="5"/>
  <c r="AK29" i="5"/>
  <c r="AB29" i="5"/>
  <c r="AC29" i="5"/>
  <c r="AE29" i="5"/>
  <c r="AI29" i="5"/>
  <c r="AJ29" i="5"/>
  <c r="AM29" i="5"/>
  <c r="AN29" i="5"/>
  <c r="AO29" i="5"/>
  <c r="AP29" i="5"/>
  <c r="T29" i="5" s="1"/>
  <c r="AQ29" i="5"/>
  <c r="Q29" i="5" s="1"/>
  <c r="AR29" i="5"/>
  <c r="R29" i="5" s="1"/>
  <c r="AS29" i="5"/>
  <c r="S29" i="5" s="1"/>
  <c r="AT29" i="5"/>
  <c r="AU29" i="5"/>
  <c r="AY29" i="5"/>
  <c r="AZ29" i="5"/>
  <c r="U30" i="5"/>
  <c r="AK30" i="5"/>
  <c r="AB30" i="5"/>
  <c r="AC30" i="5"/>
  <c r="AE30" i="5"/>
  <c r="AI30" i="5"/>
  <c r="AJ30" i="5"/>
  <c r="AM30" i="5"/>
  <c r="AN30" i="5"/>
  <c r="AO30" i="5"/>
  <c r="AP30" i="5"/>
  <c r="T30" i="5" s="1"/>
  <c r="AQ30" i="5"/>
  <c r="Q30" i="5" s="1"/>
  <c r="AR30" i="5"/>
  <c r="R30" i="5" s="1"/>
  <c r="AS30" i="5"/>
  <c r="S30" i="5" s="1"/>
  <c r="AT30" i="5"/>
  <c r="AU30" i="5"/>
  <c r="AY30" i="5"/>
  <c r="AZ30" i="5"/>
  <c r="U31" i="5"/>
  <c r="AB31" i="5"/>
  <c r="AC31" i="5"/>
  <c r="AE31" i="5"/>
  <c r="AI31" i="5"/>
  <c r="AJ31" i="5"/>
  <c r="AK31" i="5"/>
  <c r="AM31" i="5"/>
  <c r="AN31" i="5"/>
  <c r="AO31" i="5"/>
  <c r="AP31" i="5"/>
  <c r="T31" i="5" s="1"/>
  <c r="AQ31" i="5"/>
  <c r="Q31" i="5" s="1"/>
  <c r="AR31" i="5"/>
  <c r="R31" i="5" s="1"/>
  <c r="AS31" i="5"/>
  <c r="S31" i="5" s="1"/>
  <c r="AT31" i="5"/>
  <c r="AU31" i="5"/>
  <c r="AY31" i="5"/>
  <c r="AZ31" i="5"/>
  <c r="U32" i="5"/>
  <c r="AB32" i="5"/>
  <c r="AC32" i="5"/>
  <c r="AE32" i="5"/>
  <c r="AI32" i="5"/>
  <c r="AJ32" i="5"/>
  <c r="AM32" i="5"/>
  <c r="AN32" i="5"/>
  <c r="AO32" i="5"/>
  <c r="AP32" i="5"/>
  <c r="T32" i="5" s="1"/>
  <c r="AQ32" i="5"/>
  <c r="Q32" i="5" s="1"/>
  <c r="AR32" i="5"/>
  <c r="R32" i="5" s="1"/>
  <c r="AS32" i="5"/>
  <c r="S32" i="5" s="1"/>
  <c r="AT32" i="5"/>
  <c r="AU32" i="5"/>
  <c r="AY32" i="5"/>
  <c r="AZ32" i="5"/>
  <c r="U33" i="5"/>
  <c r="AK33" i="5"/>
  <c r="AB33" i="5"/>
  <c r="AC33" i="5"/>
  <c r="AE33" i="5"/>
  <c r="AI33" i="5"/>
  <c r="AJ33" i="5"/>
  <c r="AM33" i="5"/>
  <c r="AN33" i="5"/>
  <c r="AO33" i="5"/>
  <c r="AP33" i="5"/>
  <c r="T33" i="5" s="1"/>
  <c r="AQ33" i="5"/>
  <c r="Q33" i="5" s="1"/>
  <c r="AR33" i="5"/>
  <c r="R33" i="5" s="1"/>
  <c r="AS33" i="5"/>
  <c r="S33" i="5" s="1"/>
  <c r="AT33" i="5"/>
  <c r="AU33" i="5"/>
  <c r="AY33" i="5"/>
  <c r="AZ33" i="5"/>
  <c r="U34" i="5"/>
  <c r="AK34" i="5"/>
  <c r="AB34" i="5"/>
  <c r="AC34" i="5"/>
  <c r="AE34" i="5"/>
  <c r="AI34" i="5"/>
  <c r="AJ34" i="5"/>
  <c r="L34" i="5" s="1"/>
  <c r="AM34" i="5"/>
  <c r="AN34" i="5"/>
  <c r="AO34" i="5"/>
  <c r="AP34" i="5"/>
  <c r="T34" i="5" s="1"/>
  <c r="AQ34" i="5"/>
  <c r="Q34" i="5" s="1"/>
  <c r="AR34" i="5"/>
  <c r="R34" i="5" s="1"/>
  <c r="AS34" i="5"/>
  <c r="S34" i="5" s="1"/>
  <c r="AT34" i="5"/>
  <c r="AU34" i="5"/>
  <c r="AY34" i="5"/>
  <c r="AZ34" i="5"/>
  <c r="U35" i="5"/>
  <c r="AB35" i="5"/>
  <c r="AC35" i="5"/>
  <c r="AE35" i="5"/>
  <c r="AI35" i="5"/>
  <c r="AJ35" i="5"/>
  <c r="AK35" i="5"/>
  <c r="AM35" i="5"/>
  <c r="AN35" i="5"/>
  <c r="AO35" i="5"/>
  <c r="L35" i="5" s="1"/>
  <c r="AP35" i="5"/>
  <c r="T35" i="5" s="1"/>
  <c r="AQ35" i="5"/>
  <c r="Q35" i="5" s="1"/>
  <c r="AR35" i="5"/>
  <c r="R35" i="5" s="1"/>
  <c r="AS35" i="5"/>
  <c r="S35" i="5" s="1"/>
  <c r="AT35" i="5"/>
  <c r="AU35" i="5"/>
  <c r="AY35" i="5"/>
  <c r="AZ35" i="5"/>
  <c r="U36" i="5"/>
  <c r="AB36" i="5"/>
  <c r="AC36" i="5"/>
  <c r="AE36" i="5"/>
  <c r="AI36" i="5"/>
  <c r="AJ36" i="5"/>
  <c r="AK36" i="5"/>
  <c r="AM36" i="5"/>
  <c r="AN36" i="5"/>
  <c r="AO36" i="5"/>
  <c r="AP36" i="5"/>
  <c r="T36" i="5" s="1"/>
  <c r="AQ36" i="5"/>
  <c r="Q36" i="5" s="1"/>
  <c r="AR36" i="5"/>
  <c r="R36" i="5" s="1"/>
  <c r="AS36" i="5"/>
  <c r="S36" i="5" s="1"/>
  <c r="AT36" i="5"/>
  <c r="AU36" i="5"/>
  <c r="AY36" i="5"/>
  <c r="AZ36" i="5"/>
  <c r="U37" i="5"/>
  <c r="AK37" i="5"/>
  <c r="AB37" i="5"/>
  <c r="AC37" i="5"/>
  <c r="AE37" i="5"/>
  <c r="AI37" i="5"/>
  <c r="AJ37" i="5"/>
  <c r="AM37" i="5"/>
  <c r="AN37" i="5"/>
  <c r="AO37" i="5"/>
  <c r="AP37" i="5"/>
  <c r="T37" i="5" s="1"/>
  <c r="AQ37" i="5"/>
  <c r="Q37" i="5" s="1"/>
  <c r="AR37" i="5"/>
  <c r="R37" i="5" s="1"/>
  <c r="AS37" i="5"/>
  <c r="S37" i="5" s="1"/>
  <c r="AT37" i="5"/>
  <c r="AU37" i="5"/>
  <c r="AY37" i="5"/>
  <c r="AZ37" i="5"/>
  <c r="AZ38" i="5"/>
  <c r="AZ39" i="5"/>
  <c r="AA40" i="5"/>
  <c r="AZ40" i="5"/>
  <c r="AZ41" i="5"/>
  <c r="W42" i="5"/>
  <c r="AH42" i="5"/>
  <c r="AZ42" i="5"/>
  <c r="M43" i="5"/>
  <c r="W43" i="5"/>
  <c r="AZ43" i="5"/>
  <c r="W46" i="5"/>
  <c r="W47" i="5"/>
  <c r="W48" i="5"/>
  <c r="W49" i="5"/>
  <c r="W50" i="5"/>
  <c r="W51" i="5"/>
  <c r="M52" i="5"/>
  <c r="U52" i="5" s="1"/>
  <c r="W52" i="5"/>
  <c r="W53" i="5"/>
  <c r="W54" i="5"/>
  <c r="AE54" i="5"/>
  <c r="AF54" i="5"/>
  <c r="AH54" i="5" s="1"/>
  <c r="M53" i="5" s="1"/>
  <c r="W55" i="5"/>
  <c r="AE55" i="5"/>
  <c r="AF55" i="5" s="1"/>
  <c r="AH55" i="5" s="1"/>
  <c r="M54" i="5" s="1"/>
  <c r="W56" i="5"/>
  <c r="AF2" i="13"/>
  <c r="M4" i="13"/>
  <c r="U4" i="13"/>
  <c r="U4" i="14" s="1"/>
  <c r="U7" i="13"/>
  <c r="AB7" i="13"/>
  <c r="AC7" i="13"/>
  <c r="AE7" i="13"/>
  <c r="AI7" i="13"/>
  <c r="AJ7" i="13"/>
  <c r="AM7" i="13"/>
  <c r="AN7" i="13"/>
  <c r="AO7" i="13"/>
  <c r="AP7" i="13"/>
  <c r="T7" i="13" s="1"/>
  <c r="AQ7" i="13"/>
  <c r="Q7" i="13" s="1"/>
  <c r="AR7" i="13"/>
  <c r="R7" i="13" s="1"/>
  <c r="AS7" i="13"/>
  <c r="S7" i="13" s="1"/>
  <c r="AT7" i="13"/>
  <c r="AU7" i="13"/>
  <c r="AW7" i="13"/>
  <c r="AY7" i="13"/>
  <c r="AZ7" i="13"/>
  <c r="U8" i="13"/>
  <c r="AK8" i="13"/>
  <c r="AB8" i="13"/>
  <c r="AC8" i="13"/>
  <c r="AE8" i="13"/>
  <c r="AI8" i="13"/>
  <c r="AJ8" i="13"/>
  <c r="AM8" i="13"/>
  <c r="AN8" i="13"/>
  <c r="AO8" i="13"/>
  <c r="AP8" i="13"/>
  <c r="T8" i="13" s="1"/>
  <c r="AQ8" i="13"/>
  <c r="Q8" i="13" s="1"/>
  <c r="AR8" i="13"/>
  <c r="R8" i="13" s="1"/>
  <c r="AS8" i="13"/>
  <c r="S8" i="13" s="1"/>
  <c r="AT8" i="13"/>
  <c r="AU8" i="13"/>
  <c r="AY8" i="13"/>
  <c r="AZ8" i="13"/>
  <c r="U9" i="13"/>
  <c r="AK9" i="13"/>
  <c r="AB9" i="13"/>
  <c r="AC9" i="13"/>
  <c r="AE9" i="13"/>
  <c r="AI9" i="13"/>
  <c r="AJ9" i="13"/>
  <c r="AM9" i="13"/>
  <c r="AN9" i="13"/>
  <c r="AO9" i="13"/>
  <c r="AP9" i="13"/>
  <c r="T9" i="13" s="1"/>
  <c r="AQ9" i="13"/>
  <c r="Q9" i="13" s="1"/>
  <c r="AR9" i="13"/>
  <c r="R9" i="13" s="1"/>
  <c r="AS9" i="13"/>
  <c r="S9" i="13" s="1"/>
  <c r="AT9" i="13"/>
  <c r="AU9" i="13"/>
  <c r="AY9" i="13"/>
  <c r="AZ9" i="13"/>
  <c r="U10" i="13"/>
  <c r="AB10" i="13"/>
  <c r="AC10" i="13"/>
  <c r="AE10" i="13"/>
  <c r="AI10" i="13"/>
  <c r="AJ10" i="13"/>
  <c r="AM10" i="13"/>
  <c r="AN10" i="13"/>
  <c r="AO10" i="13"/>
  <c r="AP10" i="13"/>
  <c r="T10" i="13" s="1"/>
  <c r="AQ10" i="13"/>
  <c r="Q10" i="13" s="1"/>
  <c r="AR10" i="13"/>
  <c r="R10" i="13" s="1"/>
  <c r="AS10" i="13"/>
  <c r="S10" i="13" s="1"/>
  <c r="AT10" i="13"/>
  <c r="AU10" i="13"/>
  <c r="AY10" i="13"/>
  <c r="AZ10" i="13"/>
  <c r="U11" i="13"/>
  <c r="AB11" i="13"/>
  <c r="AC11" i="13"/>
  <c r="AE11" i="13"/>
  <c r="AI11" i="13"/>
  <c r="AJ11" i="13"/>
  <c r="AM11" i="13"/>
  <c r="AN11" i="13"/>
  <c r="AO11" i="13"/>
  <c r="AP11" i="13"/>
  <c r="T11" i="13" s="1"/>
  <c r="AQ11" i="13"/>
  <c r="Q11" i="13" s="1"/>
  <c r="AR11" i="13"/>
  <c r="R11" i="13" s="1"/>
  <c r="AS11" i="13"/>
  <c r="S11" i="13" s="1"/>
  <c r="AT11" i="13"/>
  <c r="AU11" i="13"/>
  <c r="AY11" i="13"/>
  <c r="AZ11" i="13"/>
  <c r="AK12" i="13"/>
  <c r="U12" i="13"/>
  <c r="AB12" i="13"/>
  <c r="AC12" i="13"/>
  <c r="AE12" i="13"/>
  <c r="AI12" i="13"/>
  <c r="AJ12" i="13"/>
  <c r="AM12" i="13"/>
  <c r="AN12" i="13"/>
  <c r="AO12" i="13"/>
  <c r="AP12" i="13"/>
  <c r="T12" i="13" s="1"/>
  <c r="AQ12" i="13"/>
  <c r="Q12" i="13" s="1"/>
  <c r="AR12" i="13"/>
  <c r="R12" i="13" s="1"/>
  <c r="AS12" i="13"/>
  <c r="S12" i="13" s="1"/>
  <c r="AT12" i="13"/>
  <c r="AU12" i="13"/>
  <c r="AY12" i="13"/>
  <c r="AZ12" i="13"/>
  <c r="U13" i="13"/>
  <c r="AB13" i="13"/>
  <c r="AC13" i="13"/>
  <c r="AE13" i="13"/>
  <c r="AI13" i="13"/>
  <c r="AJ13" i="13"/>
  <c r="L13" i="13" s="1"/>
  <c r="AK13" i="13"/>
  <c r="AM13" i="13"/>
  <c r="AN13" i="13"/>
  <c r="AO13" i="13"/>
  <c r="AP13" i="13"/>
  <c r="T13" i="13" s="1"/>
  <c r="AQ13" i="13"/>
  <c r="Q13" i="13" s="1"/>
  <c r="AR13" i="13"/>
  <c r="R13" i="13" s="1"/>
  <c r="AS13" i="13"/>
  <c r="S13" i="13" s="1"/>
  <c r="AT13" i="13"/>
  <c r="AU13" i="13"/>
  <c r="AY13" i="13"/>
  <c r="U14" i="13"/>
  <c r="AK14" i="13"/>
  <c r="AB14" i="13"/>
  <c r="AC14" i="13"/>
  <c r="AE14" i="13"/>
  <c r="AI14" i="13"/>
  <c r="AJ14" i="13"/>
  <c r="AM14" i="13"/>
  <c r="AN14" i="13"/>
  <c r="AO14" i="13"/>
  <c r="AP14" i="13"/>
  <c r="T14" i="13" s="1"/>
  <c r="AQ14" i="13"/>
  <c r="Q14" i="13" s="1"/>
  <c r="AR14" i="13"/>
  <c r="R14" i="13" s="1"/>
  <c r="AS14" i="13"/>
  <c r="S14" i="13" s="1"/>
  <c r="AT14" i="13"/>
  <c r="AU14" i="13"/>
  <c r="AY14" i="13"/>
  <c r="U15" i="13"/>
  <c r="AK15" i="13"/>
  <c r="AB15" i="13"/>
  <c r="AC15" i="13"/>
  <c r="AE15" i="13"/>
  <c r="AI15" i="13"/>
  <c r="AJ15" i="13"/>
  <c r="AM15" i="13"/>
  <c r="AN15" i="13"/>
  <c r="AO15" i="13"/>
  <c r="AP15" i="13"/>
  <c r="T15" i="13" s="1"/>
  <c r="AQ15" i="13"/>
  <c r="Q15" i="13" s="1"/>
  <c r="AR15" i="13"/>
  <c r="R15" i="13" s="1"/>
  <c r="AS15" i="13"/>
  <c r="S15" i="13" s="1"/>
  <c r="AT15" i="13"/>
  <c r="AU15" i="13"/>
  <c r="AY15" i="13"/>
  <c r="AZ15" i="13"/>
  <c r="U16" i="13"/>
  <c r="AK16" i="13"/>
  <c r="AB16" i="13"/>
  <c r="AC16" i="13"/>
  <c r="AE16" i="13"/>
  <c r="AI16" i="13"/>
  <c r="AJ16" i="13"/>
  <c r="AM16" i="13"/>
  <c r="AN16" i="13"/>
  <c r="AO16" i="13"/>
  <c r="AP16" i="13"/>
  <c r="T16" i="13" s="1"/>
  <c r="AQ16" i="13"/>
  <c r="Q16" i="13" s="1"/>
  <c r="AR16" i="13"/>
  <c r="R16" i="13" s="1"/>
  <c r="AS16" i="13"/>
  <c r="S16" i="13" s="1"/>
  <c r="AT16" i="13"/>
  <c r="AU16" i="13"/>
  <c r="AY16" i="13"/>
  <c r="AZ16" i="13"/>
  <c r="U17" i="13"/>
  <c r="AB17" i="13"/>
  <c r="AC17" i="13"/>
  <c r="AE17" i="13"/>
  <c r="AI17" i="13"/>
  <c r="AG17" i="13" s="1"/>
  <c r="X17" i="13" s="1"/>
  <c r="AJ17" i="13"/>
  <c r="AM17" i="13"/>
  <c r="AN17" i="13"/>
  <c r="AO17" i="13"/>
  <c r="AP17" i="13"/>
  <c r="T17" i="13" s="1"/>
  <c r="AQ17" i="13"/>
  <c r="Q17" i="13" s="1"/>
  <c r="AR17" i="13"/>
  <c r="R17" i="13" s="1"/>
  <c r="AS17" i="13"/>
  <c r="S17" i="13" s="1"/>
  <c r="AT17" i="13"/>
  <c r="AU17" i="13"/>
  <c r="AY17" i="13"/>
  <c r="AZ17" i="13"/>
  <c r="U18" i="13"/>
  <c r="AB18" i="13"/>
  <c r="AC18" i="13"/>
  <c r="AE18" i="13"/>
  <c r="AI18" i="13"/>
  <c r="AJ18" i="13"/>
  <c r="AM18" i="13"/>
  <c r="AN18" i="13"/>
  <c r="AO18" i="13"/>
  <c r="AP18" i="13"/>
  <c r="T18" i="13" s="1"/>
  <c r="AQ18" i="13"/>
  <c r="Q18" i="13" s="1"/>
  <c r="AR18" i="13"/>
  <c r="R18" i="13" s="1"/>
  <c r="AS18" i="13"/>
  <c r="S18" i="13" s="1"/>
  <c r="AT18" i="13"/>
  <c r="AU18" i="13"/>
  <c r="AY18" i="13"/>
  <c r="AZ18" i="13"/>
  <c r="AK19" i="13"/>
  <c r="U19" i="13"/>
  <c r="AB19" i="13"/>
  <c r="AC19" i="13"/>
  <c r="AE19" i="13"/>
  <c r="AI19" i="13"/>
  <c r="AJ19" i="13"/>
  <c r="AM19" i="13"/>
  <c r="AN19" i="13"/>
  <c r="AO19" i="13"/>
  <c r="AP19" i="13"/>
  <c r="T19" i="13" s="1"/>
  <c r="AQ19" i="13"/>
  <c r="Q19" i="13" s="1"/>
  <c r="AR19" i="13"/>
  <c r="R19" i="13" s="1"/>
  <c r="AS19" i="13"/>
  <c r="S19" i="13" s="1"/>
  <c r="AT19" i="13"/>
  <c r="AU19" i="13"/>
  <c r="AY19" i="13"/>
  <c r="AZ19" i="13"/>
  <c r="U20" i="13"/>
  <c r="AK20" i="13"/>
  <c r="AB20" i="13"/>
  <c r="AC20" i="13"/>
  <c r="AE20" i="13"/>
  <c r="AI20" i="13"/>
  <c r="AJ20" i="13"/>
  <c r="L20" i="13" s="1"/>
  <c r="AM20" i="13"/>
  <c r="AN20" i="13"/>
  <c r="AO20" i="13"/>
  <c r="AP20" i="13"/>
  <c r="T20" i="13" s="1"/>
  <c r="AQ20" i="13"/>
  <c r="Q20" i="13" s="1"/>
  <c r="AR20" i="13"/>
  <c r="R20" i="13" s="1"/>
  <c r="AS20" i="13"/>
  <c r="S20" i="13" s="1"/>
  <c r="AT20" i="13"/>
  <c r="AU20" i="13"/>
  <c r="AY20" i="13"/>
  <c r="AZ20" i="13"/>
  <c r="U21" i="13"/>
  <c r="AB21" i="13"/>
  <c r="AC21" i="13"/>
  <c r="AE21" i="13"/>
  <c r="AI21" i="13"/>
  <c r="AJ21" i="13"/>
  <c r="AM21" i="13"/>
  <c r="AN21" i="13"/>
  <c r="AO21" i="13"/>
  <c r="AP21" i="13"/>
  <c r="T21" i="13" s="1"/>
  <c r="AQ21" i="13"/>
  <c r="Q21" i="13" s="1"/>
  <c r="AR21" i="13"/>
  <c r="R21" i="13" s="1"/>
  <c r="AS21" i="13"/>
  <c r="S21" i="13" s="1"/>
  <c r="AT21" i="13"/>
  <c r="AU21" i="13"/>
  <c r="AY21" i="13"/>
  <c r="U22" i="13"/>
  <c r="AK22" i="13"/>
  <c r="AB22" i="13"/>
  <c r="AC22" i="13"/>
  <c r="AE22" i="13"/>
  <c r="AI22" i="13"/>
  <c r="AJ22" i="13"/>
  <c r="AM22" i="13"/>
  <c r="AN22" i="13"/>
  <c r="AO22" i="13"/>
  <c r="AP22" i="13"/>
  <c r="T22" i="13" s="1"/>
  <c r="AQ22" i="13"/>
  <c r="Q22" i="13" s="1"/>
  <c r="AR22" i="13"/>
  <c r="R22" i="13" s="1"/>
  <c r="AS22" i="13"/>
  <c r="S22" i="13" s="1"/>
  <c r="AT22" i="13"/>
  <c r="AU22" i="13"/>
  <c r="AY22" i="13"/>
  <c r="AZ22" i="13"/>
  <c r="U23" i="13"/>
  <c r="AK23" i="13"/>
  <c r="AB23" i="13"/>
  <c r="AC23" i="13"/>
  <c r="AE23" i="13"/>
  <c r="AI23" i="13"/>
  <c r="AJ23" i="13"/>
  <c r="L23" i="13" s="1"/>
  <c r="AM23" i="13"/>
  <c r="AN23" i="13"/>
  <c r="AO23" i="13"/>
  <c r="AP23" i="13"/>
  <c r="T23" i="13" s="1"/>
  <c r="AQ23" i="13"/>
  <c r="Q23" i="13" s="1"/>
  <c r="AR23" i="13"/>
  <c r="R23" i="13" s="1"/>
  <c r="AS23" i="13"/>
  <c r="S23" i="13" s="1"/>
  <c r="AT23" i="13"/>
  <c r="AU23" i="13"/>
  <c r="AY23" i="13"/>
  <c r="U24" i="13"/>
  <c r="AB24" i="13"/>
  <c r="AC24" i="13"/>
  <c r="AE24" i="13"/>
  <c r="AI24" i="13"/>
  <c r="AJ24" i="13"/>
  <c r="AM24" i="13"/>
  <c r="AN24" i="13"/>
  <c r="AO24" i="13"/>
  <c r="AP24" i="13"/>
  <c r="T24" i="13" s="1"/>
  <c r="AQ24" i="13"/>
  <c r="Q24" i="13" s="1"/>
  <c r="AR24" i="13"/>
  <c r="R24" i="13" s="1"/>
  <c r="AS24" i="13"/>
  <c r="S24" i="13" s="1"/>
  <c r="AT24" i="13"/>
  <c r="AU24" i="13"/>
  <c r="AY24" i="13"/>
  <c r="U25" i="13"/>
  <c r="AB25" i="13"/>
  <c r="AC25" i="13"/>
  <c r="AE25" i="13"/>
  <c r="AI25" i="13"/>
  <c r="AJ25" i="13"/>
  <c r="AM25" i="13"/>
  <c r="AN25" i="13"/>
  <c r="AO25" i="13"/>
  <c r="AP25" i="13"/>
  <c r="T25" i="13" s="1"/>
  <c r="AQ25" i="13"/>
  <c r="Q25" i="13" s="1"/>
  <c r="AR25" i="13"/>
  <c r="R25" i="13" s="1"/>
  <c r="AS25" i="13"/>
  <c r="S25" i="13" s="1"/>
  <c r="AT25" i="13"/>
  <c r="AU25" i="13"/>
  <c r="AY25" i="13"/>
  <c r="AZ25" i="13"/>
  <c r="AK26" i="13"/>
  <c r="U26" i="13"/>
  <c r="AB26" i="13"/>
  <c r="AC26" i="13"/>
  <c r="AE26" i="13"/>
  <c r="AI26" i="13"/>
  <c r="AJ26" i="13"/>
  <c r="AM26" i="13"/>
  <c r="AN26" i="13"/>
  <c r="AO26" i="13"/>
  <c r="AP26" i="13"/>
  <c r="T26" i="13" s="1"/>
  <c r="AQ26" i="13"/>
  <c r="Q26" i="13" s="1"/>
  <c r="AR26" i="13"/>
  <c r="R26" i="13" s="1"/>
  <c r="AS26" i="13"/>
  <c r="S26" i="13" s="1"/>
  <c r="AT26" i="13"/>
  <c r="AU26" i="13"/>
  <c r="AY26" i="13"/>
  <c r="AZ26" i="13"/>
  <c r="U27" i="13"/>
  <c r="AK27" i="13"/>
  <c r="AB27" i="13"/>
  <c r="AF27" i="13" s="1"/>
  <c r="W27" i="13" s="1"/>
  <c r="AC27" i="13"/>
  <c r="AE27" i="13"/>
  <c r="AI27" i="13"/>
  <c r="AG27" i="13" s="1"/>
  <c r="X27" i="13" s="1"/>
  <c r="AJ27" i="13"/>
  <c r="L27" i="13" s="1"/>
  <c r="AM27" i="13"/>
  <c r="AN27" i="13"/>
  <c r="AO27" i="13"/>
  <c r="AP27" i="13"/>
  <c r="T27" i="13" s="1"/>
  <c r="AQ27" i="13"/>
  <c r="Q27" i="13" s="1"/>
  <c r="AR27" i="13"/>
  <c r="R27" i="13" s="1"/>
  <c r="AS27" i="13"/>
  <c r="S27" i="13" s="1"/>
  <c r="AT27" i="13"/>
  <c r="AU27" i="13"/>
  <c r="AY27" i="13"/>
  <c r="AZ27" i="13"/>
  <c r="U28" i="13"/>
  <c r="AK28" i="13"/>
  <c r="AB28" i="13"/>
  <c r="AC28" i="13"/>
  <c r="AE28" i="13"/>
  <c r="AI28" i="13"/>
  <c r="AJ28" i="13"/>
  <c r="AM28" i="13"/>
  <c r="AN28" i="13"/>
  <c r="AO28" i="13"/>
  <c r="AP28" i="13"/>
  <c r="T28" i="13" s="1"/>
  <c r="AQ28" i="13"/>
  <c r="Q28" i="13" s="1"/>
  <c r="AR28" i="13"/>
  <c r="R28" i="13" s="1"/>
  <c r="AS28" i="13"/>
  <c r="S28" i="13" s="1"/>
  <c r="AT28" i="13"/>
  <c r="AU28" i="13"/>
  <c r="AY28" i="13"/>
  <c r="AZ28" i="13"/>
  <c r="U29" i="13"/>
  <c r="AK29" i="13"/>
  <c r="AB29" i="13"/>
  <c r="AC29" i="13"/>
  <c r="AE29" i="13"/>
  <c r="AI29" i="13"/>
  <c r="AJ29" i="13"/>
  <c r="AM29" i="13"/>
  <c r="AN29" i="13"/>
  <c r="AO29" i="13"/>
  <c r="AP29" i="13"/>
  <c r="T29" i="13" s="1"/>
  <c r="AQ29" i="13"/>
  <c r="Q29" i="13" s="1"/>
  <c r="AR29" i="13"/>
  <c r="R29" i="13" s="1"/>
  <c r="AS29" i="13"/>
  <c r="S29" i="13" s="1"/>
  <c r="AT29" i="13"/>
  <c r="AU29" i="13"/>
  <c r="AY29" i="13"/>
  <c r="AZ29" i="13"/>
  <c r="U30" i="13"/>
  <c r="AK30" i="13"/>
  <c r="AB30" i="13"/>
  <c r="AD30" i="13" s="1"/>
  <c r="AH30" i="13" s="1"/>
  <c r="AC30" i="13"/>
  <c r="AE30" i="13"/>
  <c r="AI30" i="13"/>
  <c r="AJ30" i="13"/>
  <c r="AM30" i="13"/>
  <c r="AN30" i="13"/>
  <c r="AO30" i="13"/>
  <c r="AP30" i="13"/>
  <c r="T30" i="13" s="1"/>
  <c r="AQ30" i="13"/>
  <c r="Q30" i="13" s="1"/>
  <c r="AR30" i="13"/>
  <c r="R30" i="13" s="1"/>
  <c r="AS30" i="13"/>
  <c r="S30" i="13" s="1"/>
  <c r="AT30" i="13"/>
  <c r="AU30" i="13"/>
  <c r="AY30" i="13"/>
  <c r="AZ30" i="13"/>
  <c r="U31" i="13"/>
  <c r="AB31" i="13"/>
  <c r="AC31" i="13"/>
  <c r="AE31" i="13"/>
  <c r="AI31" i="13"/>
  <c r="AJ31" i="13"/>
  <c r="AM31" i="13"/>
  <c r="AN31" i="13"/>
  <c r="AO31" i="13"/>
  <c r="AP31" i="13"/>
  <c r="T31" i="13" s="1"/>
  <c r="AQ31" i="13"/>
  <c r="Q31" i="13" s="1"/>
  <c r="AR31" i="13"/>
  <c r="R31" i="13" s="1"/>
  <c r="AS31" i="13"/>
  <c r="S31" i="13" s="1"/>
  <c r="AT31" i="13"/>
  <c r="AU31" i="13"/>
  <c r="AY31" i="13"/>
  <c r="AZ31" i="13"/>
  <c r="U32" i="13"/>
  <c r="AB32" i="13"/>
  <c r="AC32" i="13"/>
  <c r="AE32" i="13"/>
  <c r="AI32" i="13"/>
  <c r="AJ32" i="13"/>
  <c r="AM32" i="13"/>
  <c r="AN32" i="13"/>
  <c r="AO32" i="13"/>
  <c r="AP32" i="13"/>
  <c r="T32" i="13" s="1"/>
  <c r="AQ32" i="13"/>
  <c r="Q32" i="13" s="1"/>
  <c r="AR32" i="13"/>
  <c r="R32" i="13" s="1"/>
  <c r="AS32" i="13"/>
  <c r="S32" i="13" s="1"/>
  <c r="AT32" i="13"/>
  <c r="AU32" i="13"/>
  <c r="AY32" i="13"/>
  <c r="AZ32" i="13"/>
  <c r="AK33" i="13"/>
  <c r="U33" i="13"/>
  <c r="AB33" i="13"/>
  <c r="AC33" i="13"/>
  <c r="AE33" i="13"/>
  <c r="AI33" i="13"/>
  <c r="AJ33" i="13"/>
  <c r="AM33" i="13"/>
  <c r="AN33" i="13"/>
  <c r="AO33" i="13"/>
  <c r="AP33" i="13"/>
  <c r="T33" i="13" s="1"/>
  <c r="AQ33" i="13"/>
  <c r="Q33" i="13" s="1"/>
  <c r="AR33" i="13"/>
  <c r="R33" i="13" s="1"/>
  <c r="AS33" i="13"/>
  <c r="S33" i="13" s="1"/>
  <c r="AT33" i="13"/>
  <c r="AU33" i="13"/>
  <c r="AY33" i="13"/>
  <c r="AZ33" i="13"/>
  <c r="U34" i="13"/>
  <c r="AK34" i="13"/>
  <c r="AB34" i="13"/>
  <c r="AC34" i="13"/>
  <c r="AE34" i="13"/>
  <c r="AI34" i="13"/>
  <c r="AJ34" i="13"/>
  <c r="L34" i="13" s="1"/>
  <c r="AM34" i="13"/>
  <c r="AN34" i="13"/>
  <c r="AO34" i="13"/>
  <c r="AP34" i="13"/>
  <c r="T34" i="13" s="1"/>
  <c r="AQ34" i="13"/>
  <c r="Q34" i="13" s="1"/>
  <c r="AR34" i="13"/>
  <c r="R34" i="13" s="1"/>
  <c r="AS34" i="13"/>
  <c r="S34" i="13" s="1"/>
  <c r="AT34" i="13"/>
  <c r="AU34" i="13"/>
  <c r="AY34" i="13"/>
  <c r="AZ34" i="13"/>
  <c r="U35" i="13"/>
  <c r="AK35" i="13"/>
  <c r="AB35" i="13"/>
  <c r="AC35" i="13"/>
  <c r="AE35" i="13"/>
  <c r="AI35" i="13"/>
  <c r="AJ35" i="13"/>
  <c r="AM35" i="13"/>
  <c r="AN35" i="13"/>
  <c r="AO35" i="13"/>
  <c r="AP35" i="13"/>
  <c r="T35" i="13" s="1"/>
  <c r="AQ35" i="13"/>
  <c r="Q35" i="13" s="1"/>
  <c r="AR35" i="13"/>
  <c r="R35" i="13" s="1"/>
  <c r="AS35" i="13"/>
  <c r="S35" i="13" s="1"/>
  <c r="AT35" i="13"/>
  <c r="AU35" i="13"/>
  <c r="AY35" i="13"/>
  <c r="AZ35" i="13"/>
  <c r="U36" i="13"/>
  <c r="AK36" i="13"/>
  <c r="AB36" i="13"/>
  <c r="AC36" i="13"/>
  <c r="AE36" i="13"/>
  <c r="AI36" i="13"/>
  <c r="AJ36" i="13"/>
  <c r="AM36" i="13"/>
  <c r="AN36" i="13"/>
  <c r="AO36" i="13"/>
  <c r="AP36" i="13"/>
  <c r="T36" i="13" s="1"/>
  <c r="AQ36" i="13"/>
  <c r="Q36" i="13" s="1"/>
  <c r="AR36" i="13"/>
  <c r="R36" i="13" s="1"/>
  <c r="AS36" i="13"/>
  <c r="S36" i="13" s="1"/>
  <c r="AT36" i="13"/>
  <c r="AU36" i="13"/>
  <c r="AY36" i="13"/>
  <c r="AZ36" i="13"/>
  <c r="AZ37" i="13"/>
  <c r="AZ38" i="13"/>
  <c r="AA39" i="13"/>
  <c r="AZ39" i="13"/>
  <c r="AZ40" i="13"/>
  <c r="W41" i="13"/>
  <c r="AH41" i="13"/>
  <c r="AZ41" i="13"/>
  <c r="M42" i="13"/>
  <c r="W42" i="13"/>
  <c r="AZ42" i="13"/>
  <c r="AZ43" i="13"/>
  <c r="W45" i="13"/>
  <c r="AF45" i="13"/>
  <c r="W46" i="13"/>
  <c r="W47" i="13"/>
  <c r="W48" i="13"/>
  <c r="W49" i="13"/>
  <c r="W50" i="13"/>
  <c r="M51" i="13"/>
  <c r="U51" i="13" s="1"/>
  <c r="W51" i="13"/>
  <c r="W52" i="13"/>
  <c r="W53" i="13"/>
  <c r="AE53" i="13"/>
  <c r="AF53" i="13" s="1"/>
  <c r="AH53" i="13" s="1"/>
  <c r="M52" i="13" s="1"/>
  <c r="W54" i="13"/>
  <c r="AE54" i="13"/>
  <c r="AF54" i="13" s="1"/>
  <c r="AH54" i="13" s="1"/>
  <c r="M53" i="13" s="1"/>
  <c r="W55" i="13"/>
  <c r="AF2" i="12"/>
  <c r="M4" i="12"/>
  <c r="U7" i="12"/>
  <c r="AB7" i="12"/>
  <c r="AC7" i="12"/>
  <c r="AE7" i="12"/>
  <c r="AI7" i="12"/>
  <c r="AJ7" i="12"/>
  <c r="AM7" i="12"/>
  <c r="AN7" i="12"/>
  <c r="AO7" i="12"/>
  <c r="AP7" i="12"/>
  <c r="T7" i="12" s="1"/>
  <c r="AQ7" i="12"/>
  <c r="Q7" i="12" s="1"/>
  <c r="AR7" i="12"/>
  <c r="R7" i="12" s="1"/>
  <c r="AS7" i="12"/>
  <c r="S7" i="12" s="1"/>
  <c r="AT7" i="12"/>
  <c r="AU7" i="12"/>
  <c r="AV7" i="12"/>
  <c r="AY7" i="12"/>
  <c r="AZ7" i="12"/>
  <c r="U8" i="12"/>
  <c r="AB8" i="12"/>
  <c r="AC8" i="12"/>
  <c r="AE8" i="12"/>
  <c r="AI8" i="12"/>
  <c r="AG8" i="12" s="1"/>
  <c r="X8" i="12" s="1"/>
  <c r="AJ8" i="12"/>
  <c r="AK8" i="12"/>
  <c r="AM8" i="12"/>
  <c r="AN8" i="12"/>
  <c r="AO8" i="12"/>
  <c r="AP8" i="12"/>
  <c r="T8" i="12" s="1"/>
  <c r="AQ8" i="12"/>
  <c r="Q8" i="12" s="1"/>
  <c r="AR8" i="12"/>
  <c r="R8" i="12" s="1"/>
  <c r="AS8" i="12"/>
  <c r="S8" i="12" s="1"/>
  <c r="AT8" i="12"/>
  <c r="AU8" i="12"/>
  <c r="AY8" i="12"/>
  <c r="AZ8" i="12"/>
  <c r="U9" i="12"/>
  <c r="AB9" i="12"/>
  <c r="AC9" i="12"/>
  <c r="AE9" i="12"/>
  <c r="AI9" i="12"/>
  <c r="AJ9" i="12"/>
  <c r="L9" i="12" s="1"/>
  <c r="AK9" i="12"/>
  <c r="AM9" i="12"/>
  <c r="AN9" i="12"/>
  <c r="AO9" i="12"/>
  <c r="AP9" i="12"/>
  <c r="T9" i="12" s="1"/>
  <c r="AQ9" i="12"/>
  <c r="Q9" i="12" s="1"/>
  <c r="AR9" i="12"/>
  <c r="R9" i="12" s="1"/>
  <c r="AS9" i="12"/>
  <c r="S9" i="12" s="1"/>
  <c r="AT9" i="12"/>
  <c r="AU9" i="12"/>
  <c r="AY9" i="12"/>
  <c r="AZ9" i="12"/>
  <c r="R10" i="12"/>
  <c r="U10" i="12"/>
  <c r="AK10" i="12"/>
  <c r="AB10" i="12"/>
  <c r="AC10" i="12"/>
  <c r="AE10" i="12"/>
  <c r="AI10" i="12"/>
  <c r="AG10" i="12" s="1"/>
  <c r="X10" i="12" s="1"/>
  <c r="AJ10" i="12"/>
  <c r="AM10" i="12"/>
  <c r="AN10" i="12"/>
  <c r="AO10" i="12"/>
  <c r="AP10" i="12"/>
  <c r="T10" i="12" s="1"/>
  <c r="AQ10" i="12"/>
  <c r="Q10" i="12" s="1"/>
  <c r="AR10" i="12"/>
  <c r="AS10" i="12"/>
  <c r="S10" i="12" s="1"/>
  <c r="AT10" i="12"/>
  <c r="AU10" i="12"/>
  <c r="AY10" i="12"/>
  <c r="AZ10" i="12"/>
  <c r="U11" i="12"/>
  <c r="AB11" i="12"/>
  <c r="AC11" i="12"/>
  <c r="AE11" i="12"/>
  <c r="AI11" i="12"/>
  <c r="AJ11" i="12"/>
  <c r="AM11" i="12"/>
  <c r="AN11" i="12"/>
  <c r="AO11" i="12"/>
  <c r="AP11" i="12"/>
  <c r="T11" i="12" s="1"/>
  <c r="AQ11" i="12"/>
  <c r="Q11" i="12" s="1"/>
  <c r="AR11" i="12"/>
  <c r="R11" i="12" s="1"/>
  <c r="AS11" i="12"/>
  <c r="S11" i="12" s="1"/>
  <c r="AT11" i="12"/>
  <c r="AU11" i="12"/>
  <c r="AY11" i="12"/>
  <c r="AZ11" i="12"/>
  <c r="U12" i="12"/>
  <c r="AB12" i="12"/>
  <c r="AC12" i="12"/>
  <c r="AE12" i="12"/>
  <c r="AI12" i="12"/>
  <c r="AJ12" i="12"/>
  <c r="AM12" i="12"/>
  <c r="AN12" i="12"/>
  <c r="AO12" i="12"/>
  <c r="AP12" i="12"/>
  <c r="T12" i="12" s="1"/>
  <c r="AQ12" i="12"/>
  <c r="Q12" i="12" s="1"/>
  <c r="AR12" i="12"/>
  <c r="R12" i="12" s="1"/>
  <c r="AS12" i="12"/>
  <c r="S12" i="12" s="1"/>
  <c r="AT12" i="12"/>
  <c r="AU12" i="12"/>
  <c r="AY12" i="12"/>
  <c r="AZ12" i="12"/>
  <c r="U13" i="12"/>
  <c r="AB13" i="12"/>
  <c r="AD13" i="12" s="1"/>
  <c r="AH13" i="12" s="1"/>
  <c r="AC13" i="12"/>
  <c r="AE13" i="12"/>
  <c r="AI13" i="12"/>
  <c r="AJ13" i="12"/>
  <c r="AM13" i="12"/>
  <c r="AN13" i="12"/>
  <c r="AO13" i="12"/>
  <c r="AP13" i="12"/>
  <c r="T13" i="12" s="1"/>
  <c r="AQ13" i="12"/>
  <c r="Q13" i="12" s="1"/>
  <c r="AR13" i="12"/>
  <c r="R13" i="12" s="1"/>
  <c r="AS13" i="12"/>
  <c r="S13" i="12" s="1"/>
  <c r="AT13" i="12"/>
  <c r="AU13" i="12"/>
  <c r="AY13" i="12"/>
  <c r="U14" i="12"/>
  <c r="AB14" i="12"/>
  <c r="AC14" i="12"/>
  <c r="AE14" i="12"/>
  <c r="AI14" i="12"/>
  <c r="AJ14" i="12"/>
  <c r="AM14" i="12"/>
  <c r="AN14" i="12"/>
  <c r="AO14" i="12"/>
  <c r="AP14" i="12"/>
  <c r="T14" i="12" s="1"/>
  <c r="AQ14" i="12"/>
  <c r="Q14" i="12" s="1"/>
  <c r="AR14" i="12"/>
  <c r="R14" i="12" s="1"/>
  <c r="AS14" i="12"/>
  <c r="S14" i="12" s="1"/>
  <c r="AT14" i="12"/>
  <c r="AU14" i="12"/>
  <c r="AY14" i="12"/>
  <c r="U15" i="12"/>
  <c r="AB15" i="12"/>
  <c r="AC15" i="12"/>
  <c r="AE15" i="12"/>
  <c r="AI15" i="12"/>
  <c r="AJ15" i="12"/>
  <c r="AM15" i="12"/>
  <c r="AN15" i="12"/>
  <c r="AO15" i="12"/>
  <c r="AP15" i="12"/>
  <c r="T15" i="12" s="1"/>
  <c r="AQ15" i="12"/>
  <c r="Q15" i="12" s="1"/>
  <c r="AR15" i="12"/>
  <c r="R15" i="12" s="1"/>
  <c r="AS15" i="12"/>
  <c r="S15" i="12" s="1"/>
  <c r="AT15" i="12"/>
  <c r="AU15" i="12"/>
  <c r="AY15" i="12"/>
  <c r="AZ15" i="12"/>
  <c r="U16" i="12"/>
  <c r="AK16" i="12"/>
  <c r="AB16" i="12"/>
  <c r="AD16" i="12" s="1"/>
  <c r="AH16" i="12" s="1"/>
  <c r="AC16" i="12"/>
  <c r="AE16" i="12"/>
  <c r="AI16" i="12"/>
  <c r="AG16" i="12" s="1"/>
  <c r="X16" i="12" s="1"/>
  <c r="AJ16" i="12"/>
  <c r="L16" i="12" s="1"/>
  <c r="AM16" i="12"/>
  <c r="AN16" i="12"/>
  <c r="AO16" i="12"/>
  <c r="AP16" i="12"/>
  <c r="T16" i="12" s="1"/>
  <c r="AQ16" i="12"/>
  <c r="Q16" i="12" s="1"/>
  <c r="AR16" i="12"/>
  <c r="R16" i="12" s="1"/>
  <c r="AS16" i="12"/>
  <c r="S16" i="12" s="1"/>
  <c r="AT16" i="12"/>
  <c r="AU16" i="12"/>
  <c r="AY16" i="12"/>
  <c r="AZ16" i="12"/>
  <c r="U17" i="12"/>
  <c r="AK17" i="12"/>
  <c r="AB17" i="12"/>
  <c r="AC17" i="12"/>
  <c r="AE17" i="12"/>
  <c r="AI17" i="12"/>
  <c r="AJ17" i="12"/>
  <c r="AM17" i="12"/>
  <c r="AN17" i="12"/>
  <c r="AO17" i="12"/>
  <c r="AP17" i="12"/>
  <c r="T17" i="12" s="1"/>
  <c r="AQ17" i="12"/>
  <c r="Q17" i="12" s="1"/>
  <c r="AR17" i="12"/>
  <c r="R17" i="12" s="1"/>
  <c r="AS17" i="12"/>
  <c r="S17" i="12" s="1"/>
  <c r="AT17" i="12"/>
  <c r="AU17" i="12"/>
  <c r="AY17" i="12"/>
  <c r="AZ17" i="12"/>
  <c r="U18" i="12"/>
  <c r="AB18" i="12"/>
  <c r="AC18" i="12"/>
  <c r="AE18" i="12"/>
  <c r="AF18" i="12" s="1"/>
  <c r="W18" i="12" s="1"/>
  <c r="AI18" i="12"/>
  <c r="AJ18" i="12"/>
  <c r="AM18" i="12"/>
  <c r="AN18" i="12"/>
  <c r="AO18" i="12"/>
  <c r="AP18" i="12"/>
  <c r="T18" i="12" s="1"/>
  <c r="AQ18" i="12"/>
  <c r="Q18" i="12" s="1"/>
  <c r="AR18" i="12"/>
  <c r="R18" i="12" s="1"/>
  <c r="AS18" i="12"/>
  <c r="S18" i="12" s="1"/>
  <c r="AT18" i="12"/>
  <c r="AU18" i="12"/>
  <c r="AY18" i="12"/>
  <c r="AZ18" i="12"/>
  <c r="U19" i="12"/>
  <c r="AB19" i="12"/>
  <c r="AC19" i="12"/>
  <c r="AE19" i="12"/>
  <c r="AI19" i="12"/>
  <c r="AJ19" i="12"/>
  <c r="AM19" i="12"/>
  <c r="AN19" i="12"/>
  <c r="AO19" i="12"/>
  <c r="AP19" i="12"/>
  <c r="T19" i="12" s="1"/>
  <c r="AQ19" i="12"/>
  <c r="Q19" i="12" s="1"/>
  <c r="AR19" i="12"/>
  <c r="R19" i="12" s="1"/>
  <c r="AS19" i="12"/>
  <c r="S19" i="12" s="1"/>
  <c r="AT19" i="12"/>
  <c r="AU19" i="12"/>
  <c r="AY19" i="12"/>
  <c r="AZ19" i="12"/>
  <c r="U20" i="12"/>
  <c r="AB20" i="12"/>
  <c r="AC20" i="12"/>
  <c r="AE20" i="12"/>
  <c r="AI20" i="12"/>
  <c r="AJ20" i="12"/>
  <c r="AM20" i="12"/>
  <c r="AN20" i="12"/>
  <c r="AO20" i="12"/>
  <c r="AP20" i="12"/>
  <c r="T20" i="12" s="1"/>
  <c r="AQ20" i="12"/>
  <c r="Q20" i="12" s="1"/>
  <c r="AR20" i="12"/>
  <c r="R20" i="12" s="1"/>
  <c r="AS20" i="12"/>
  <c r="S20" i="12" s="1"/>
  <c r="AT20" i="12"/>
  <c r="AU20" i="12"/>
  <c r="AY20" i="12"/>
  <c r="AZ20" i="12"/>
  <c r="U21" i="12"/>
  <c r="AB21" i="12"/>
  <c r="AC21" i="12"/>
  <c r="AE21" i="12"/>
  <c r="AI21" i="12"/>
  <c r="AJ21" i="12"/>
  <c r="AM21" i="12"/>
  <c r="AN21" i="12"/>
  <c r="AO21" i="12"/>
  <c r="AP21" i="12"/>
  <c r="T21" i="12" s="1"/>
  <c r="AQ21" i="12"/>
  <c r="Q21" i="12" s="1"/>
  <c r="AR21" i="12"/>
  <c r="R21" i="12" s="1"/>
  <c r="AS21" i="12"/>
  <c r="S21" i="12" s="1"/>
  <c r="AT21" i="12"/>
  <c r="AU21" i="12"/>
  <c r="AY21" i="12"/>
  <c r="AK22" i="12"/>
  <c r="U22" i="12"/>
  <c r="AB22" i="12"/>
  <c r="AC22" i="12"/>
  <c r="AE22" i="12"/>
  <c r="AI22" i="12"/>
  <c r="AJ22" i="12"/>
  <c r="AM22" i="12"/>
  <c r="AN22" i="12"/>
  <c r="AO22" i="12"/>
  <c r="AP22" i="12"/>
  <c r="T22" i="12" s="1"/>
  <c r="AQ22" i="12"/>
  <c r="Q22" i="12" s="1"/>
  <c r="AR22" i="12"/>
  <c r="R22" i="12" s="1"/>
  <c r="AS22" i="12"/>
  <c r="S22" i="12" s="1"/>
  <c r="AT22" i="12"/>
  <c r="AU22" i="12"/>
  <c r="AY22" i="12"/>
  <c r="AZ22" i="12"/>
  <c r="U23" i="12"/>
  <c r="AB23" i="12"/>
  <c r="AC23" i="12"/>
  <c r="AE23" i="12"/>
  <c r="AI23" i="12"/>
  <c r="AJ23" i="12"/>
  <c r="L23" i="12" s="1"/>
  <c r="AK23" i="12"/>
  <c r="AM23" i="12"/>
  <c r="AN23" i="12"/>
  <c r="AO23" i="12"/>
  <c r="AP23" i="12"/>
  <c r="T23" i="12" s="1"/>
  <c r="AQ23" i="12"/>
  <c r="Q23" i="12" s="1"/>
  <c r="AR23" i="12"/>
  <c r="R23" i="12" s="1"/>
  <c r="AS23" i="12"/>
  <c r="S23" i="12" s="1"/>
  <c r="AT23" i="12"/>
  <c r="AU23" i="12"/>
  <c r="AY23" i="12"/>
  <c r="AZ23" i="12"/>
  <c r="U24" i="12"/>
  <c r="AB24" i="12"/>
  <c r="AC24" i="12"/>
  <c r="AE24" i="12"/>
  <c r="AI24" i="12"/>
  <c r="AG24" i="12" s="1"/>
  <c r="X24" i="12" s="1"/>
  <c r="AJ24" i="12"/>
  <c r="AK24" i="12"/>
  <c r="AM24" i="12"/>
  <c r="AN24" i="12"/>
  <c r="AO24" i="12"/>
  <c r="L24" i="12" s="1"/>
  <c r="AP24" i="12"/>
  <c r="T24" i="12" s="1"/>
  <c r="AQ24" i="12"/>
  <c r="Q24" i="12" s="1"/>
  <c r="AR24" i="12"/>
  <c r="R24" i="12" s="1"/>
  <c r="AS24" i="12"/>
  <c r="S24" i="12" s="1"/>
  <c r="AT24" i="12"/>
  <c r="AU24" i="12"/>
  <c r="AY24" i="12"/>
  <c r="AZ24" i="12"/>
  <c r="U25" i="12"/>
  <c r="AB25" i="12"/>
  <c r="AC25" i="12"/>
  <c r="AE25" i="12"/>
  <c r="AI25" i="12"/>
  <c r="AJ25" i="12"/>
  <c r="AM25" i="12"/>
  <c r="AN25" i="12"/>
  <c r="AO25" i="12"/>
  <c r="AP25" i="12"/>
  <c r="T25" i="12" s="1"/>
  <c r="AQ25" i="12"/>
  <c r="Q25" i="12" s="1"/>
  <c r="AR25" i="12"/>
  <c r="R25" i="12" s="1"/>
  <c r="AS25" i="12"/>
  <c r="S25" i="12" s="1"/>
  <c r="AT25" i="12"/>
  <c r="AU25" i="12"/>
  <c r="AY25" i="12"/>
  <c r="AZ25" i="12"/>
  <c r="U26" i="12"/>
  <c r="AB26" i="12"/>
  <c r="AC26" i="12"/>
  <c r="AE26" i="12"/>
  <c r="AG26" i="12" s="1"/>
  <c r="X26" i="12" s="1"/>
  <c r="AI26" i="12"/>
  <c r="AJ26" i="12"/>
  <c r="AM26" i="12"/>
  <c r="AN26" i="12"/>
  <c r="AO26" i="12"/>
  <c r="AP26" i="12"/>
  <c r="T26" i="12" s="1"/>
  <c r="AQ26" i="12"/>
  <c r="Q26" i="12" s="1"/>
  <c r="AR26" i="12"/>
  <c r="R26" i="12" s="1"/>
  <c r="AS26" i="12"/>
  <c r="S26" i="12" s="1"/>
  <c r="AT26" i="12"/>
  <c r="AU26" i="12"/>
  <c r="AY26" i="12"/>
  <c r="AZ26" i="12"/>
  <c r="U27" i="12"/>
  <c r="AB27" i="12"/>
  <c r="AC27" i="12"/>
  <c r="AE27" i="12"/>
  <c r="AI27" i="12"/>
  <c r="AJ27" i="12"/>
  <c r="AM27" i="12"/>
  <c r="AN27" i="12"/>
  <c r="AO27" i="12"/>
  <c r="AP27" i="12"/>
  <c r="T27" i="12" s="1"/>
  <c r="AQ27" i="12"/>
  <c r="Q27" i="12" s="1"/>
  <c r="AR27" i="12"/>
  <c r="R27" i="12" s="1"/>
  <c r="AS27" i="12"/>
  <c r="S27" i="12" s="1"/>
  <c r="AT27" i="12"/>
  <c r="AU27" i="12"/>
  <c r="AY27" i="12"/>
  <c r="AZ27" i="12"/>
  <c r="U28" i="12"/>
  <c r="AB28" i="12"/>
  <c r="AC28" i="12"/>
  <c r="AE28" i="12"/>
  <c r="AI28" i="12"/>
  <c r="AJ28" i="12"/>
  <c r="AM28" i="12"/>
  <c r="AN28" i="12"/>
  <c r="AO28" i="12"/>
  <c r="AP28" i="12"/>
  <c r="T28" i="12" s="1"/>
  <c r="AQ28" i="12"/>
  <c r="Q28" i="12" s="1"/>
  <c r="AR28" i="12"/>
  <c r="R28" i="12" s="1"/>
  <c r="AS28" i="12"/>
  <c r="S28" i="12" s="1"/>
  <c r="AT28" i="12"/>
  <c r="AU28" i="12"/>
  <c r="AY28" i="12"/>
  <c r="AZ28" i="12"/>
  <c r="U29" i="12"/>
  <c r="AB29" i="12"/>
  <c r="AC29" i="12"/>
  <c r="AE29" i="12"/>
  <c r="AI29" i="12"/>
  <c r="AJ29" i="12"/>
  <c r="AM29" i="12"/>
  <c r="AN29" i="12"/>
  <c r="AO29" i="12"/>
  <c r="AP29" i="12"/>
  <c r="T29" i="12" s="1"/>
  <c r="AQ29" i="12"/>
  <c r="Q29" i="12" s="1"/>
  <c r="AR29" i="12"/>
  <c r="R29" i="12" s="1"/>
  <c r="AS29" i="12"/>
  <c r="S29" i="12" s="1"/>
  <c r="AT29" i="12"/>
  <c r="AU29" i="12"/>
  <c r="AY29" i="12"/>
  <c r="AZ29" i="12"/>
  <c r="U30" i="12"/>
  <c r="AK30" i="12"/>
  <c r="AB30" i="12"/>
  <c r="AC30" i="12"/>
  <c r="AE30" i="12"/>
  <c r="AI30" i="12"/>
  <c r="AG30" i="12" s="1"/>
  <c r="X30" i="12" s="1"/>
  <c r="AJ30" i="12"/>
  <c r="L30" i="12" s="1"/>
  <c r="AM30" i="12"/>
  <c r="AN30" i="12"/>
  <c r="AO30" i="12"/>
  <c r="AP30" i="12"/>
  <c r="T30" i="12" s="1"/>
  <c r="AQ30" i="12"/>
  <c r="Q30" i="12" s="1"/>
  <c r="AR30" i="12"/>
  <c r="R30" i="12" s="1"/>
  <c r="AS30" i="12"/>
  <c r="S30" i="12" s="1"/>
  <c r="AT30" i="12"/>
  <c r="AU30" i="12"/>
  <c r="AY30" i="12"/>
  <c r="AZ30" i="12"/>
  <c r="U31" i="12"/>
  <c r="AB31" i="12"/>
  <c r="AC31" i="12"/>
  <c r="AE31" i="12"/>
  <c r="AI31" i="12"/>
  <c r="AJ31" i="12"/>
  <c r="AK31" i="12"/>
  <c r="AM31" i="12"/>
  <c r="AN31" i="12"/>
  <c r="AO31" i="12"/>
  <c r="AP31" i="12"/>
  <c r="T31" i="12" s="1"/>
  <c r="AQ31" i="12"/>
  <c r="Q31" i="12" s="1"/>
  <c r="AR31" i="12"/>
  <c r="R31" i="12" s="1"/>
  <c r="AS31" i="12"/>
  <c r="S31" i="12" s="1"/>
  <c r="AT31" i="12"/>
  <c r="AU31" i="12"/>
  <c r="AY31" i="12"/>
  <c r="AZ31" i="12"/>
  <c r="U32" i="12"/>
  <c r="AB32" i="12"/>
  <c r="AD32" i="12" s="1"/>
  <c r="AH32" i="12" s="1"/>
  <c r="AC32" i="12"/>
  <c r="AE32" i="12"/>
  <c r="AI32" i="12"/>
  <c r="AJ32" i="12"/>
  <c r="AM32" i="12"/>
  <c r="AN32" i="12"/>
  <c r="AO32" i="12"/>
  <c r="AP32" i="12"/>
  <c r="T32" i="12" s="1"/>
  <c r="AQ32" i="12"/>
  <c r="Q32" i="12" s="1"/>
  <c r="AR32" i="12"/>
  <c r="R32" i="12" s="1"/>
  <c r="AS32" i="12"/>
  <c r="S32" i="12" s="1"/>
  <c r="AT32" i="12"/>
  <c r="AU32" i="12"/>
  <c r="AY32" i="12"/>
  <c r="AZ32" i="12"/>
  <c r="U33" i="12"/>
  <c r="AB33" i="12"/>
  <c r="AC33" i="12"/>
  <c r="AE33" i="12"/>
  <c r="AI33" i="12"/>
  <c r="AJ33" i="12"/>
  <c r="AM33" i="12"/>
  <c r="AN33" i="12"/>
  <c r="AO33" i="12"/>
  <c r="AP33" i="12"/>
  <c r="T33" i="12" s="1"/>
  <c r="AQ33" i="12"/>
  <c r="Q33" i="12" s="1"/>
  <c r="AR33" i="12"/>
  <c r="R33" i="12" s="1"/>
  <c r="AS33" i="12"/>
  <c r="S33" i="12" s="1"/>
  <c r="AT33" i="12"/>
  <c r="AU33" i="12"/>
  <c r="AY33" i="12"/>
  <c r="AZ33" i="12"/>
  <c r="U34" i="12"/>
  <c r="AB34" i="12"/>
  <c r="AC34" i="12"/>
  <c r="AE34" i="12"/>
  <c r="AI34" i="12"/>
  <c r="AJ34" i="12"/>
  <c r="AM34" i="12"/>
  <c r="AN34" i="12"/>
  <c r="AO34" i="12"/>
  <c r="AP34" i="12"/>
  <c r="T34" i="12" s="1"/>
  <c r="AQ34" i="12"/>
  <c r="Q34" i="12" s="1"/>
  <c r="AR34" i="12"/>
  <c r="R34" i="12" s="1"/>
  <c r="AS34" i="12"/>
  <c r="S34" i="12" s="1"/>
  <c r="AT34" i="12"/>
  <c r="AU34" i="12"/>
  <c r="AY34" i="12"/>
  <c r="AZ34" i="12"/>
  <c r="U35" i="12"/>
  <c r="AB35" i="12"/>
  <c r="AC35" i="12"/>
  <c r="AE35" i="12"/>
  <c r="AI35" i="12"/>
  <c r="AJ35" i="12"/>
  <c r="AM35" i="12"/>
  <c r="AN35" i="12"/>
  <c r="AO35" i="12"/>
  <c r="AP35" i="12"/>
  <c r="T35" i="12" s="1"/>
  <c r="AQ35" i="12"/>
  <c r="Q35" i="12" s="1"/>
  <c r="AR35" i="12"/>
  <c r="R35" i="12" s="1"/>
  <c r="AS35" i="12"/>
  <c r="S35" i="12" s="1"/>
  <c r="AT35" i="12"/>
  <c r="AU35" i="12"/>
  <c r="AY35" i="12"/>
  <c r="AZ35" i="12"/>
  <c r="U36" i="12"/>
  <c r="AB36" i="12"/>
  <c r="AC36" i="12"/>
  <c r="AE36" i="12"/>
  <c r="AI36" i="12"/>
  <c r="AJ36" i="12"/>
  <c r="AM36" i="12"/>
  <c r="AN36" i="12"/>
  <c r="AO36" i="12"/>
  <c r="AP36" i="12"/>
  <c r="T36" i="12" s="1"/>
  <c r="AQ36" i="12"/>
  <c r="Q36" i="12" s="1"/>
  <c r="AR36" i="12"/>
  <c r="AS36" i="12"/>
  <c r="S36" i="12" s="1"/>
  <c r="AT36" i="12"/>
  <c r="AU36" i="12"/>
  <c r="AY36" i="12"/>
  <c r="AZ36" i="12"/>
  <c r="U37" i="12"/>
  <c r="AK37" i="12"/>
  <c r="AB37" i="12"/>
  <c r="AC37" i="12"/>
  <c r="AE37" i="12"/>
  <c r="AI37" i="12"/>
  <c r="AJ37" i="12"/>
  <c r="AM37" i="12"/>
  <c r="AN37" i="12"/>
  <c r="AO37" i="12"/>
  <c r="AP37" i="12"/>
  <c r="T37" i="12" s="1"/>
  <c r="AQ37" i="12"/>
  <c r="Q37" i="12" s="1"/>
  <c r="AR37" i="12"/>
  <c r="R37" i="12" s="1"/>
  <c r="AS37" i="12"/>
  <c r="S37" i="12" s="1"/>
  <c r="AT37" i="12"/>
  <c r="AU37" i="12"/>
  <c r="AY37" i="12"/>
  <c r="AZ37" i="12"/>
  <c r="AZ38" i="12"/>
  <c r="AZ39" i="12"/>
  <c r="AA40" i="12"/>
  <c r="AZ40" i="12"/>
  <c r="AZ41" i="12"/>
  <c r="W42" i="12"/>
  <c r="AH42" i="12"/>
  <c r="AZ42" i="12"/>
  <c r="M43" i="12"/>
  <c r="W43" i="12"/>
  <c r="AZ43" i="12"/>
  <c r="W46" i="12"/>
  <c r="AF46" i="12"/>
  <c r="W47" i="12"/>
  <c r="W48" i="12"/>
  <c r="W49" i="12"/>
  <c r="W50" i="12"/>
  <c r="W51" i="12"/>
  <c r="M52" i="12"/>
  <c r="U52" i="12" s="1"/>
  <c r="W52" i="12"/>
  <c r="W53" i="12"/>
  <c r="W54" i="12"/>
  <c r="AE54" i="12"/>
  <c r="AF54" i="12" s="1"/>
  <c r="AH54" i="12" s="1"/>
  <c r="M53" i="12" s="1"/>
  <c r="W55" i="12"/>
  <c r="AE55" i="12"/>
  <c r="AF55" i="12" s="1"/>
  <c r="AH55" i="12" s="1"/>
  <c r="M54" i="12" s="1"/>
  <c r="W56" i="12"/>
  <c r="AF2" i="11"/>
  <c r="M4" i="11"/>
  <c r="U4" i="11"/>
  <c r="U4" i="12" s="1"/>
  <c r="U7" i="11"/>
  <c r="AK7" i="11"/>
  <c r="AB7" i="11"/>
  <c r="AC7" i="11"/>
  <c r="AE7" i="11"/>
  <c r="AI7" i="11"/>
  <c r="AJ7" i="11"/>
  <c r="AM7" i="11"/>
  <c r="AN7" i="11"/>
  <c r="AO7" i="11"/>
  <c r="AP7" i="11"/>
  <c r="T7" i="11" s="1"/>
  <c r="AQ7" i="11"/>
  <c r="Q7" i="11" s="1"/>
  <c r="AR7" i="11"/>
  <c r="R7" i="11" s="1"/>
  <c r="AS7" i="11"/>
  <c r="S7" i="11" s="1"/>
  <c r="AT7" i="11"/>
  <c r="AU7" i="11"/>
  <c r="AY7" i="11"/>
  <c r="AZ7" i="11"/>
  <c r="U8" i="11"/>
  <c r="AB8" i="11"/>
  <c r="AC8" i="11"/>
  <c r="AE8" i="11"/>
  <c r="AI8" i="11"/>
  <c r="AJ8" i="11"/>
  <c r="AM8" i="11"/>
  <c r="AN8" i="11"/>
  <c r="AO8" i="11"/>
  <c r="AP8" i="11"/>
  <c r="T8" i="11" s="1"/>
  <c r="AQ8" i="11"/>
  <c r="Q8" i="11" s="1"/>
  <c r="AR8" i="11"/>
  <c r="R8" i="11" s="1"/>
  <c r="AS8" i="11"/>
  <c r="S8" i="11" s="1"/>
  <c r="AT8" i="11"/>
  <c r="AU8" i="11"/>
  <c r="AY8" i="11"/>
  <c r="AZ8" i="11"/>
  <c r="U9" i="11"/>
  <c r="AB9" i="11"/>
  <c r="AC9" i="11"/>
  <c r="AE9" i="11"/>
  <c r="AI9" i="11"/>
  <c r="AJ9" i="11"/>
  <c r="AM9" i="11"/>
  <c r="AN9" i="11"/>
  <c r="AO9" i="11"/>
  <c r="AP9" i="11"/>
  <c r="T9" i="11" s="1"/>
  <c r="AQ9" i="11"/>
  <c r="Q9" i="11" s="1"/>
  <c r="AR9" i="11"/>
  <c r="R9" i="11" s="1"/>
  <c r="AS9" i="11"/>
  <c r="S9" i="11" s="1"/>
  <c r="AT9" i="11"/>
  <c r="AU9" i="11"/>
  <c r="AY9" i="11"/>
  <c r="AZ9" i="11"/>
  <c r="U10" i="11"/>
  <c r="AB10" i="11"/>
  <c r="AC10" i="11"/>
  <c r="AE10" i="11"/>
  <c r="AI10" i="11"/>
  <c r="AJ10" i="11"/>
  <c r="AK10" i="11"/>
  <c r="AM10" i="11"/>
  <c r="AN10" i="11"/>
  <c r="AO10" i="11"/>
  <c r="AP10" i="11"/>
  <c r="T10" i="11" s="1"/>
  <c r="AQ10" i="11"/>
  <c r="Q10" i="11" s="1"/>
  <c r="AR10" i="11"/>
  <c r="R10" i="11" s="1"/>
  <c r="AS10" i="11"/>
  <c r="S10" i="11" s="1"/>
  <c r="AT10" i="11"/>
  <c r="AU10" i="11"/>
  <c r="AY10" i="11"/>
  <c r="AZ10" i="11"/>
  <c r="U11" i="11"/>
  <c r="AK11" i="11"/>
  <c r="AB11" i="11"/>
  <c r="AC11" i="11"/>
  <c r="AE11" i="11"/>
  <c r="AI11" i="11"/>
  <c r="AJ11" i="11"/>
  <c r="L11" i="11" s="1"/>
  <c r="AM11" i="11"/>
  <c r="AN11" i="11"/>
  <c r="AO11" i="11"/>
  <c r="AP11" i="11"/>
  <c r="T11" i="11" s="1"/>
  <c r="AQ11" i="11"/>
  <c r="Q11" i="11" s="1"/>
  <c r="AR11" i="11"/>
  <c r="R11" i="11" s="1"/>
  <c r="AS11" i="11"/>
  <c r="S11" i="11" s="1"/>
  <c r="AT11" i="11"/>
  <c r="AU11" i="11"/>
  <c r="AY11" i="11"/>
  <c r="AZ11" i="11"/>
  <c r="U12" i="11"/>
  <c r="AK12" i="11"/>
  <c r="AB12" i="11"/>
  <c r="AC12" i="11"/>
  <c r="AE12" i="11"/>
  <c r="AI12" i="11"/>
  <c r="AG12" i="11" s="1"/>
  <c r="X12" i="11" s="1"/>
  <c r="AJ12" i="11"/>
  <c r="AM12" i="11"/>
  <c r="AN12" i="11"/>
  <c r="AO12" i="11"/>
  <c r="AP12" i="11"/>
  <c r="T12" i="11" s="1"/>
  <c r="AQ12" i="11"/>
  <c r="Q12" i="11" s="1"/>
  <c r="AR12" i="11"/>
  <c r="R12" i="11" s="1"/>
  <c r="AS12" i="11"/>
  <c r="S12" i="11" s="1"/>
  <c r="AT12" i="11"/>
  <c r="AU12" i="11"/>
  <c r="AY12" i="11"/>
  <c r="AZ12" i="11"/>
  <c r="U13" i="11"/>
  <c r="AB13" i="11"/>
  <c r="AC13" i="11"/>
  <c r="AE13" i="11"/>
  <c r="AI13" i="11"/>
  <c r="AJ13" i="11"/>
  <c r="AK13" i="11"/>
  <c r="AM13" i="11"/>
  <c r="AN13" i="11"/>
  <c r="AO13" i="11"/>
  <c r="AP13" i="11"/>
  <c r="T13" i="11" s="1"/>
  <c r="AQ13" i="11"/>
  <c r="Q13" i="11" s="1"/>
  <c r="AR13" i="11"/>
  <c r="R13" i="11" s="1"/>
  <c r="AS13" i="11"/>
  <c r="S13" i="11" s="1"/>
  <c r="AT13" i="11"/>
  <c r="AU13" i="11"/>
  <c r="AY13" i="11"/>
  <c r="U14" i="11"/>
  <c r="AK14" i="11"/>
  <c r="AB14" i="11"/>
  <c r="AC14" i="11"/>
  <c r="AE14" i="11"/>
  <c r="AI14" i="11"/>
  <c r="AJ14" i="11"/>
  <c r="AM14" i="11"/>
  <c r="AN14" i="11"/>
  <c r="AO14" i="11"/>
  <c r="AP14" i="11"/>
  <c r="T14" i="11" s="1"/>
  <c r="AQ14" i="11"/>
  <c r="Q14" i="11" s="1"/>
  <c r="AR14" i="11"/>
  <c r="R14" i="11" s="1"/>
  <c r="AS14" i="11"/>
  <c r="S14" i="11" s="1"/>
  <c r="AT14" i="11"/>
  <c r="AU14" i="11"/>
  <c r="AY14" i="11"/>
  <c r="U15" i="11"/>
  <c r="AB15" i="11"/>
  <c r="AC15" i="11"/>
  <c r="AE15" i="11"/>
  <c r="AI15" i="11"/>
  <c r="AJ15" i="11"/>
  <c r="AM15" i="11"/>
  <c r="AN15" i="11"/>
  <c r="AO15" i="11"/>
  <c r="AP15" i="11"/>
  <c r="T15" i="11" s="1"/>
  <c r="AQ15" i="11"/>
  <c r="Q15" i="11" s="1"/>
  <c r="AR15" i="11"/>
  <c r="R15" i="11" s="1"/>
  <c r="AS15" i="11"/>
  <c r="S15" i="11" s="1"/>
  <c r="AT15" i="11"/>
  <c r="AU15" i="11"/>
  <c r="AY15" i="11"/>
  <c r="AZ15" i="11"/>
  <c r="U16" i="11"/>
  <c r="AB16" i="11"/>
  <c r="AF16" i="11" s="1"/>
  <c r="W16" i="11" s="1"/>
  <c r="AC16" i="11"/>
  <c r="AE16" i="11"/>
  <c r="AI16" i="11"/>
  <c r="AJ16" i="11"/>
  <c r="AM16" i="11"/>
  <c r="AN16" i="11"/>
  <c r="AO16" i="11"/>
  <c r="AP16" i="11"/>
  <c r="T16" i="11" s="1"/>
  <c r="AQ16" i="11"/>
  <c r="Q16" i="11" s="1"/>
  <c r="AR16" i="11"/>
  <c r="R16" i="11" s="1"/>
  <c r="AS16" i="11"/>
  <c r="S16" i="11" s="1"/>
  <c r="AT16" i="11"/>
  <c r="AU16" i="11"/>
  <c r="AY16" i="11"/>
  <c r="AZ16" i="11"/>
  <c r="U17" i="11"/>
  <c r="AB17" i="11"/>
  <c r="AC17" i="11"/>
  <c r="AE17" i="11"/>
  <c r="AI17" i="11"/>
  <c r="AJ17" i="11"/>
  <c r="AM17" i="11"/>
  <c r="AN17" i="11"/>
  <c r="AO17" i="11"/>
  <c r="AP17" i="11"/>
  <c r="T17" i="11" s="1"/>
  <c r="AQ17" i="11"/>
  <c r="Q17" i="11" s="1"/>
  <c r="AR17" i="11"/>
  <c r="R17" i="11" s="1"/>
  <c r="AS17" i="11"/>
  <c r="S17" i="11" s="1"/>
  <c r="AT17" i="11"/>
  <c r="AU17" i="11"/>
  <c r="AY17" i="11"/>
  <c r="AZ17" i="11"/>
  <c r="U18" i="11"/>
  <c r="AK18" i="11"/>
  <c r="AB18" i="11"/>
  <c r="AC18" i="11"/>
  <c r="AE18" i="11"/>
  <c r="AI18" i="11"/>
  <c r="AJ18" i="11"/>
  <c r="L18" i="11" s="1"/>
  <c r="AM18" i="11"/>
  <c r="AN18" i="11"/>
  <c r="AO18" i="11"/>
  <c r="AP18" i="11"/>
  <c r="T18" i="11" s="1"/>
  <c r="AQ18" i="11"/>
  <c r="Q18" i="11" s="1"/>
  <c r="AR18" i="11"/>
  <c r="R18" i="11" s="1"/>
  <c r="AS18" i="11"/>
  <c r="S18" i="11" s="1"/>
  <c r="AT18" i="11"/>
  <c r="AU18" i="11"/>
  <c r="AY18" i="11"/>
  <c r="AZ18" i="11"/>
  <c r="U19" i="11"/>
  <c r="AK19" i="11"/>
  <c r="AB19" i="11"/>
  <c r="AC19" i="11"/>
  <c r="AD19" i="11" s="1"/>
  <c r="AH19" i="11" s="1"/>
  <c r="AE19" i="11"/>
  <c r="AF19" i="11" s="1"/>
  <c r="W19" i="11" s="1"/>
  <c r="AI19" i="11"/>
  <c r="AJ19" i="11"/>
  <c r="AM19" i="11"/>
  <c r="AN19" i="11"/>
  <c r="AO19" i="11"/>
  <c r="AP19" i="11"/>
  <c r="T19" i="11" s="1"/>
  <c r="AQ19" i="11"/>
  <c r="Q19" i="11" s="1"/>
  <c r="AR19" i="11"/>
  <c r="R19" i="11" s="1"/>
  <c r="AS19" i="11"/>
  <c r="S19" i="11" s="1"/>
  <c r="AT19" i="11"/>
  <c r="AU19" i="11"/>
  <c r="AY19" i="11"/>
  <c r="AZ19" i="11"/>
  <c r="U20" i="11"/>
  <c r="AK20" i="11"/>
  <c r="AB20" i="11"/>
  <c r="AC20" i="11"/>
  <c r="AE20" i="11"/>
  <c r="AI20" i="11"/>
  <c r="AJ20" i="11"/>
  <c r="AM20" i="11"/>
  <c r="AN20" i="11"/>
  <c r="AO20" i="11"/>
  <c r="AP20" i="11"/>
  <c r="T20" i="11" s="1"/>
  <c r="AQ20" i="11"/>
  <c r="Q20" i="11" s="1"/>
  <c r="AR20" i="11"/>
  <c r="R20" i="11" s="1"/>
  <c r="AS20" i="11"/>
  <c r="S20" i="11" s="1"/>
  <c r="AT20" i="11"/>
  <c r="AU20" i="11"/>
  <c r="AY20" i="11"/>
  <c r="AZ20" i="11"/>
  <c r="U21" i="11"/>
  <c r="AK21" i="11"/>
  <c r="AB21" i="11"/>
  <c r="AF21" i="11" s="1"/>
  <c r="W21" i="11" s="1"/>
  <c r="AC21" i="11"/>
  <c r="AE21" i="11"/>
  <c r="AI21" i="11"/>
  <c r="AJ21" i="11"/>
  <c r="AM21" i="11"/>
  <c r="AN21" i="11"/>
  <c r="AO21" i="11"/>
  <c r="AP21" i="11"/>
  <c r="T21" i="11" s="1"/>
  <c r="AQ21" i="11"/>
  <c r="Q21" i="11" s="1"/>
  <c r="AR21" i="11"/>
  <c r="R21" i="11" s="1"/>
  <c r="AS21" i="11"/>
  <c r="S21" i="11" s="1"/>
  <c r="AT21" i="11"/>
  <c r="AU21" i="11"/>
  <c r="AY21" i="11"/>
  <c r="U22" i="11"/>
  <c r="AB22" i="11"/>
  <c r="AC22" i="11"/>
  <c r="AE22" i="11"/>
  <c r="AI22" i="11"/>
  <c r="AJ22" i="11"/>
  <c r="AM22" i="11"/>
  <c r="AN22" i="11"/>
  <c r="AO22" i="11"/>
  <c r="AP22" i="11"/>
  <c r="T22" i="11" s="1"/>
  <c r="AQ22" i="11"/>
  <c r="Q22" i="11" s="1"/>
  <c r="AR22" i="11"/>
  <c r="R22" i="11" s="1"/>
  <c r="AS22" i="11"/>
  <c r="S22" i="11" s="1"/>
  <c r="AT22" i="11"/>
  <c r="AU22" i="11"/>
  <c r="AY22" i="11"/>
  <c r="AZ22" i="11"/>
  <c r="U23" i="11"/>
  <c r="AB23" i="11"/>
  <c r="AC23" i="11"/>
  <c r="AE23" i="11"/>
  <c r="AI23" i="11"/>
  <c r="AJ23" i="11"/>
  <c r="AM23" i="11"/>
  <c r="AN23" i="11"/>
  <c r="AO23" i="11"/>
  <c r="AP23" i="11"/>
  <c r="T23" i="11" s="1"/>
  <c r="AQ23" i="11"/>
  <c r="Q23" i="11" s="1"/>
  <c r="AR23" i="11"/>
  <c r="R23" i="11" s="1"/>
  <c r="AS23" i="11"/>
  <c r="S23" i="11" s="1"/>
  <c r="AT23" i="11"/>
  <c r="AU23" i="11"/>
  <c r="AY23" i="11"/>
  <c r="AZ23" i="11"/>
  <c r="U24" i="11"/>
  <c r="AB24" i="11"/>
  <c r="AC24" i="11"/>
  <c r="AE24" i="11"/>
  <c r="AI24" i="11"/>
  <c r="AJ24" i="11"/>
  <c r="AM24" i="11"/>
  <c r="AN24" i="11"/>
  <c r="AO24" i="11"/>
  <c r="AP24" i="11"/>
  <c r="T24" i="11" s="1"/>
  <c r="AQ24" i="11"/>
  <c r="Q24" i="11" s="1"/>
  <c r="AR24" i="11"/>
  <c r="R24" i="11" s="1"/>
  <c r="AS24" i="11"/>
  <c r="S24" i="11" s="1"/>
  <c r="AT24" i="11"/>
  <c r="AU24" i="11"/>
  <c r="AY24" i="11"/>
  <c r="AZ24" i="11"/>
  <c r="U25" i="11"/>
  <c r="AB25" i="11"/>
  <c r="AC25" i="11"/>
  <c r="AE25" i="11"/>
  <c r="AI25" i="11"/>
  <c r="AJ25" i="11"/>
  <c r="L25" i="11" s="1"/>
  <c r="AK25" i="11"/>
  <c r="AM25" i="11"/>
  <c r="AN25" i="11"/>
  <c r="AO25" i="11"/>
  <c r="AP25" i="11"/>
  <c r="T25" i="11" s="1"/>
  <c r="AQ25" i="11"/>
  <c r="Q25" i="11" s="1"/>
  <c r="AR25" i="11"/>
  <c r="R25" i="11" s="1"/>
  <c r="AS25" i="11"/>
  <c r="S25" i="11" s="1"/>
  <c r="AT25" i="11"/>
  <c r="AU25" i="11"/>
  <c r="AY25" i="11"/>
  <c r="AZ25" i="11"/>
  <c r="U26" i="11"/>
  <c r="AK26" i="11"/>
  <c r="AB26" i="11"/>
  <c r="AC26" i="11"/>
  <c r="AE26" i="11"/>
  <c r="AI26" i="11"/>
  <c r="AJ26" i="11"/>
  <c r="AM26" i="11"/>
  <c r="AN26" i="11"/>
  <c r="AO26" i="11"/>
  <c r="AP26" i="11"/>
  <c r="T26" i="11" s="1"/>
  <c r="AQ26" i="11"/>
  <c r="Q26" i="11" s="1"/>
  <c r="AR26" i="11"/>
  <c r="R26" i="11" s="1"/>
  <c r="AS26" i="11"/>
  <c r="S26" i="11" s="1"/>
  <c r="AT26" i="11"/>
  <c r="AU26" i="11"/>
  <c r="AY26" i="11"/>
  <c r="AZ26" i="11"/>
  <c r="U27" i="11"/>
  <c r="AK27" i="11"/>
  <c r="AB27" i="11"/>
  <c r="AC27" i="11"/>
  <c r="AE27" i="11"/>
  <c r="AI27" i="11"/>
  <c r="AJ27" i="11"/>
  <c r="AM27" i="11"/>
  <c r="AN27" i="11"/>
  <c r="AO27" i="11"/>
  <c r="AP27" i="11"/>
  <c r="T27" i="11" s="1"/>
  <c r="AQ27" i="11"/>
  <c r="Q27" i="11" s="1"/>
  <c r="AR27" i="11"/>
  <c r="R27" i="11" s="1"/>
  <c r="AS27" i="11"/>
  <c r="S27" i="11" s="1"/>
  <c r="AT27" i="11"/>
  <c r="AU27" i="11"/>
  <c r="AY27" i="11"/>
  <c r="AZ27" i="11"/>
  <c r="U28" i="11"/>
  <c r="AB28" i="11"/>
  <c r="AC28" i="11"/>
  <c r="AE28" i="11"/>
  <c r="AI28" i="11"/>
  <c r="AJ28" i="11"/>
  <c r="AK28" i="11"/>
  <c r="AM28" i="11"/>
  <c r="AN28" i="11"/>
  <c r="AO28" i="11"/>
  <c r="AP28" i="11"/>
  <c r="T28" i="11" s="1"/>
  <c r="AQ28" i="11"/>
  <c r="Q28" i="11" s="1"/>
  <c r="AR28" i="11"/>
  <c r="R28" i="11" s="1"/>
  <c r="AS28" i="11"/>
  <c r="S28" i="11" s="1"/>
  <c r="AT28" i="11"/>
  <c r="AU28" i="11"/>
  <c r="AY28" i="11"/>
  <c r="AZ28" i="11"/>
  <c r="U29" i="11"/>
  <c r="AB29" i="11"/>
  <c r="AC29" i="11"/>
  <c r="AE29" i="11"/>
  <c r="AI29" i="11"/>
  <c r="AJ29" i="11"/>
  <c r="AM29" i="11"/>
  <c r="AN29" i="11"/>
  <c r="AO29" i="11"/>
  <c r="AP29" i="11"/>
  <c r="AQ29" i="11"/>
  <c r="Q29" i="11" s="1"/>
  <c r="AR29" i="11"/>
  <c r="R29" i="11" s="1"/>
  <c r="AS29" i="11"/>
  <c r="S29" i="11" s="1"/>
  <c r="AT29" i="11"/>
  <c r="AU29" i="11"/>
  <c r="AY29" i="11"/>
  <c r="AZ29" i="11"/>
  <c r="U30" i="11"/>
  <c r="AB30" i="11"/>
  <c r="AC30" i="11"/>
  <c r="AE30" i="11"/>
  <c r="AI30" i="11"/>
  <c r="AJ30" i="11"/>
  <c r="AM30" i="11"/>
  <c r="AN30" i="11"/>
  <c r="AO30" i="11"/>
  <c r="AP30" i="11"/>
  <c r="T30" i="11" s="1"/>
  <c r="AQ30" i="11"/>
  <c r="Q30" i="11" s="1"/>
  <c r="AR30" i="11"/>
  <c r="R30" i="11" s="1"/>
  <c r="AS30" i="11"/>
  <c r="S30" i="11" s="1"/>
  <c r="AT30" i="11"/>
  <c r="AU30" i="11"/>
  <c r="AY30" i="11"/>
  <c r="AZ30" i="11"/>
  <c r="AK31" i="11"/>
  <c r="U31" i="11"/>
  <c r="AB31" i="11"/>
  <c r="AC31" i="11"/>
  <c r="AE31" i="11"/>
  <c r="AI31" i="11"/>
  <c r="AJ31" i="11"/>
  <c r="AM31" i="11"/>
  <c r="AN31" i="11"/>
  <c r="AO31" i="11"/>
  <c r="AP31" i="11"/>
  <c r="T31" i="11" s="1"/>
  <c r="AQ31" i="11"/>
  <c r="Q31" i="11" s="1"/>
  <c r="AR31" i="11"/>
  <c r="R31" i="11" s="1"/>
  <c r="AS31" i="11"/>
  <c r="S31" i="11" s="1"/>
  <c r="AT31" i="11"/>
  <c r="AU31" i="11"/>
  <c r="AY31" i="11"/>
  <c r="AZ31" i="11"/>
  <c r="U32" i="11"/>
  <c r="AK32" i="11"/>
  <c r="AB32" i="11"/>
  <c r="AC32" i="11"/>
  <c r="AE32" i="11"/>
  <c r="AI32" i="11"/>
  <c r="AJ32" i="11"/>
  <c r="L32" i="11" s="1"/>
  <c r="AM32" i="11"/>
  <c r="AN32" i="11"/>
  <c r="AO32" i="11"/>
  <c r="AP32" i="11"/>
  <c r="T32" i="11" s="1"/>
  <c r="AQ32" i="11"/>
  <c r="Q32" i="11" s="1"/>
  <c r="AR32" i="11"/>
  <c r="R32" i="11" s="1"/>
  <c r="AS32" i="11"/>
  <c r="S32" i="11" s="1"/>
  <c r="AT32" i="11"/>
  <c r="AU32" i="11"/>
  <c r="AY32" i="11"/>
  <c r="AZ32" i="11"/>
  <c r="U33" i="11"/>
  <c r="AK33" i="11"/>
  <c r="AB33" i="11"/>
  <c r="AC33" i="11"/>
  <c r="AE33" i="11"/>
  <c r="AI33" i="11"/>
  <c r="AJ33" i="11"/>
  <c r="AM33" i="11"/>
  <c r="AN33" i="11"/>
  <c r="AO33" i="11"/>
  <c r="AP33" i="11"/>
  <c r="T33" i="11" s="1"/>
  <c r="AQ33" i="11"/>
  <c r="Q33" i="11" s="1"/>
  <c r="AR33" i="11"/>
  <c r="R33" i="11" s="1"/>
  <c r="AS33" i="11"/>
  <c r="S33" i="11" s="1"/>
  <c r="AT33" i="11"/>
  <c r="AU33" i="11"/>
  <c r="AY33" i="11"/>
  <c r="AZ33" i="11"/>
  <c r="U34" i="11"/>
  <c r="AB34" i="11"/>
  <c r="AC34" i="11"/>
  <c r="AD34" i="11" s="1"/>
  <c r="AH34" i="11" s="1"/>
  <c r="AE34" i="11"/>
  <c r="AI34" i="11"/>
  <c r="AJ34" i="11"/>
  <c r="AK34" i="11"/>
  <c r="AM34" i="11"/>
  <c r="AN34" i="11"/>
  <c r="AO34" i="11"/>
  <c r="AP34" i="11"/>
  <c r="T34" i="11" s="1"/>
  <c r="AQ34" i="11"/>
  <c r="Q34" i="11" s="1"/>
  <c r="AR34" i="11"/>
  <c r="R34" i="11" s="1"/>
  <c r="AS34" i="11"/>
  <c r="S34" i="11" s="1"/>
  <c r="AT34" i="11"/>
  <c r="AU34" i="11"/>
  <c r="AY34" i="11"/>
  <c r="AZ34" i="11"/>
  <c r="U35" i="11"/>
  <c r="AK35" i="11"/>
  <c r="AB35" i="11"/>
  <c r="AF35" i="11" s="1"/>
  <c r="W35" i="11" s="1"/>
  <c r="AC35" i="11"/>
  <c r="AE35" i="11"/>
  <c r="AI35" i="11"/>
  <c r="AJ35" i="11"/>
  <c r="AM35" i="11"/>
  <c r="AN35" i="11"/>
  <c r="AO35" i="11"/>
  <c r="AP35" i="11"/>
  <c r="T35" i="11" s="1"/>
  <c r="AQ35" i="11"/>
  <c r="Q35" i="11" s="1"/>
  <c r="AR35" i="11"/>
  <c r="R35" i="11" s="1"/>
  <c r="AS35" i="11"/>
  <c r="AT35" i="11"/>
  <c r="AU35" i="11"/>
  <c r="AY35" i="11"/>
  <c r="AZ35" i="11"/>
  <c r="U36" i="11"/>
  <c r="AB36" i="11"/>
  <c r="AC36" i="11"/>
  <c r="AE36" i="11"/>
  <c r="AI36" i="11"/>
  <c r="AJ36" i="11"/>
  <c r="AM36" i="11"/>
  <c r="AN36" i="11"/>
  <c r="AO36" i="11"/>
  <c r="AP36" i="11"/>
  <c r="T36" i="11" s="1"/>
  <c r="AQ36" i="11"/>
  <c r="Q36" i="11" s="1"/>
  <c r="AR36" i="11"/>
  <c r="R36" i="11" s="1"/>
  <c r="AS36" i="11"/>
  <c r="S36" i="11" s="1"/>
  <c r="AT36" i="11"/>
  <c r="AU36" i="11"/>
  <c r="AY36" i="11"/>
  <c r="AZ36" i="11"/>
  <c r="AZ37" i="11"/>
  <c r="AZ38" i="11"/>
  <c r="AA39" i="11"/>
  <c r="AZ39" i="11"/>
  <c r="AZ40" i="11"/>
  <c r="W41" i="11"/>
  <c r="AH41" i="11"/>
  <c r="AZ41" i="11"/>
  <c r="M42" i="11"/>
  <c r="W42" i="11"/>
  <c r="AZ42" i="11"/>
  <c r="AZ43" i="11"/>
  <c r="W45" i="11"/>
  <c r="W46" i="11"/>
  <c r="W47" i="11"/>
  <c r="W48" i="11"/>
  <c r="W49" i="11"/>
  <c r="W50" i="11"/>
  <c r="M51" i="11"/>
  <c r="U51" i="11" s="1"/>
  <c r="W51" i="11"/>
  <c r="W52" i="11"/>
  <c r="W53" i="11"/>
  <c r="AE53" i="11"/>
  <c r="AF53" i="11" s="1"/>
  <c r="AH53" i="11" s="1"/>
  <c r="M52" i="11" s="1"/>
  <c r="W54" i="11"/>
  <c r="AE54" i="11"/>
  <c r="AF54" i="11" s="1"/>
  <c r="AH54" i="11" s="1"/>
  <c r="M53" i="11" s="1"/>
  <c r="W55" i="11"/>
  <c r="L37" i="12" l="1"/>
  <c r="L10" i="3"/>
  <c r="L36" i="5"/>
  <c r="L15" i="5"/>
  <c r="L37" i="7"/>
  <c r="L17" i="7"/>
  <c r="L14" i="5"/>
  <c r="L8" i="5"/>
  <c r="L29" i="8"/>
  <c r="L13" i="8"/>
  <c r="L32" i="3"/>
  <c r="L15" i="4"/>
  <c r="L8" i="4"/>
  <c r="L33" i="14"/>
  <c r="L23" i="4"/>
  <c r="L15" i="10"/>
  <c r="L11" i="7"/>
  <c r="L35" i="13"/>
  <c r="L10" i="12"/>
  <c r="L12" i="11"/>
  <c r="L17" i="12"/>
  <c r="L33" i="11"/>
  <c r="L28" i="5"/>
  <c r="L9" i="5"/>
  <c r="AL9" i="5" s="1"/>
  <c r="L8" i="10"/>
  <c r="L8" i="8"/>
  <c r="L25" i="9"/>
  <c r="L30" i="4"/>
  <c r="L14" i="4"/>
  <c r="L26" i="14"/>
  <c r="L19" i="14"/>
  <c r="L33" i="6"/>
  <c r="AL33" i="6" s="1"/>
  <c r="L28" i="8"/>
  <c r="L7" i="4"/>
  <c r="L26" i="11"/>
  <c r="L31" i="12"/>
  <c r="AL31" i="12" s="1"/>
  <c r="L14" i="13"/>
  <c r="L9" i="7"/>
  <c r="L32" i="6"/>
  <c r="L27" i="6"/>
  <c r="AL27" i="6" s="1"/>
  <c r="L22" i="10"/>
  <c r="L36" i="8"/>
  <c r="L28" i="4"/>
  <c r="L26" i="6"/>
  <c r="L36" i="10"/>
  <c r="AX13" i="8"/>
  <c r="AX14" i="8" s="1"/>
  <c r="AX15" i="8" s="1"/>
  <c r="L32" i="7"/>
  <c r="L21" i="4"/>
  <c r="AL21" i="4" s="1"/>
  <c r="L13" i="6"/>
  <c r="L34" i="6"/>
  <c r="L19" i="11"/>
  <c r="L7" i="5"/>
  <c r="L26" i="3"/>
  <c r="L21" i="5"/>
  <c r="L22" i="8"/>
  <c r="L31" i="3"/>
  <c r="AL31" i="3" s="1"/>
  <c r="L27" i="8"/>
  <c r="L18" i="9"/>
  <c r="L25" i="3"/>
  <c r="L19" i="3"/>
  <c r="L12" i="3"/>
  <c r="L18" i="7"/>
  <c r="L11" i="9"/>
  <c r="L20" i="8"/>
  <c r="AL20" i="8" s="1"/>
  <c r="L24" i="3"/>
  <c r="L18" i="3"/>
  <c r="L21" i="13"/>
  <c r="AG23" i="14"/>
  <c r="X23" i="14" s="1"/>
  <c r="L8" i="14"/>
  <c r="AD24" i="14"/>
  <c r="AH24" i="14" s="1"/>
  <c r="AD9" i="14"/>
  <c r="AH9" i="14" s="1"/>
  <c r="AF21" i="14"/>
  <c r="W21" i="14" s="1"/>
  <c r="AF14" i="14"/>
  <c r="W14" i="14" s="1"/>
  <c r="AG12" i="14"/>
  <c r="X12" i="14" s="1"/>
  <c r="AD8" i="12"/>
  <c r="AD7" i="12"/>
  <c r="AH7" i="12" s="1"/>
  <c r="AF34" i="12"/>
  <c r="W34" i="12" s="1"/>
  <c r="AD17" i="12"/>
  <c r="AH17" i="12" s="1"/>
  <c r="AG13" i="12"/>
  <c r="X13" i="12" s="1"/>
  <c r="AG19" i="12"/>
  <c r="X19" i="12" s="1"/>
  <c r="AG12" i="12"/>
  <c r="X12" i="12" s="1"/>
  <c r="AG33" i="11"/>
  <c r="X33" i="11" s="1"/>
  <c r="AG24" i="11"/>
  <c r="X24" i="11" s="1"/>
  <c r="L35" i="11"/>
  <c r="AL35" i="11" s="1"/>
  <c r="AG14" i="11"/>
  <c r="X14" i="11" s="1"/>
  <c r="L8" i="11"/>
  <c r="AD26" i="11"/>
  <c r="AH26" i="11" s="1"/>
  <c r="AG30" i="10"/>
  <c r="X30" i="10" s="1"/>
  <c r="AG36" i="8"/>
  <c r="X36" i="8" s="1"/>
  <c r="AG35" i="8"/>
  <c r="X35" i="8" s="1"/>
  <c r="L30" i="7"/>
  <c r="AD12" i="5"/>
  <c r="AH12" i="5" s="1"/>
  <c r="AD23" i="12"/>
  <c r="AH23" i="12" s="1"/>
  <c r="AD15" i="12"/>
  <c r="AH15" i="12" s="1"/>
  <c r="AF9" i="12"/>
  <c r="W9" i="12" s="1"/>
  <c r="AF25" i="11"/>
  <c r="W25" i="11" s="1"/>
  <c r="AG16" i="6"/>
  <c r="X16" i="6" s="1"/>
  <c r="AG7" i="14"/>
  <c r="X7" i="14" s="1"/>
  <c r="L34" i="14"/>
  <c r="AK34" i="14" s="1"/>
  <c r="L29" i="14"/>
  <c r="AD30" i="14"/>
  <c r="AH30" i="14" s="1"/>
  <c r="L27" i="14"/>
  <c r="AK27" i="14" s="1"/>
  <c r="AD28" i="14"/>
  <c r="AH28" i="14" s="1"/>
  <c r="AG14" i="14"/>
  <c r="AF13" i="14"/>
  <c r="W13" i="14" s="1"/>
  <c r="AD16" i="14"/>
  <c r="AH16" i="14" s="1"/>
  <c r="AD13" i="14"/>
  <c r="AH13" i="14" s="1"/>
  <c r="AD34" i="13"/>
  <c r="AH34" i="13" s="1"/>
  <c r="AG31" i="13"/>
  <c r="X31" i="13" s="1"/>
  <c r="L28" i="13"/>
  <c r="AG34" i="13"/>
  <c r="X34" i="13" s="1"/>
  <c r="L7" i="13"/>
  <c r="V7" i="13" s="1"/>
  <c r="L9" i="13"/>
  <c r="L16" i="13"/>
  <c r="AG14" i="13"/>
  <c r="X14" i="13" s="1"/>
  <c r="L30" i="13"/>
  <c r="AL30" i="13" s="1"/>
  <c r="L22" i="13"/>
  <c r="AD22" i="13"/>
  <c r="AH22" i="13" s="1"/>
  <c r="AG25" i="13"/>
  <c r="X25" i="13" s="1"/>
  <c r="L24" i="13"/>
  <c r="AG34" i="12"/>
  <c r="X34" i="12" s="1"/>
  <c r="L33" i="12"/>
  <c r="AK33" i="12" s="1"/>
  <c r="AF33" i="12"/>
  <c r="W33" i="12" s="1"/>
  <c r="L25" i="12"/>
  <c r="AK25" i="12" s="1"/>
  <c r="AG25" i="12"/>
  <c r="X25" i="12" s="1"/>
  <c r="AD25" i="12"/>
  <c r="AH25" i="12" s="1"/>
  <c r="AG28" i="12"/>
  <c r="X28" i="12" s="1"/>
  <c r="L18" i="12"/>
  <c r="AK18" i="12" s="1"/>
  <c r="AG20" i="12"/>
  <c r="X20" i="12" s="1"/>
  <c r="AD11" i="12"/>
  <c r="AH11" i="12" s="1"/>
  <c r="AG14" i="12"/>
  <c r="X14" i="12" s="1"/>
  <c r="L11" i="12"/>
  <c r="AK11" i="12" s="1"/>
  <c r="AF27" i="11"/>
  <c r="W27" i="11" s="1"/>
  <c r="L29" i="11"/>
  <c r="L21" i="11"/>
  <c r="AG16" i="11"/>
  <c r="X16" i="11" s="1"/>
  <c r="AD15" i="11"/>
  <c r="AH15" i="11" s="1"/>
  <c r="AF14" i="11"/>
  <c r="W14" i="11" s="1"/>
  <c r="L37" i="10"/>
  <c r="L31" i="10"/>
  <c r="L25" i="10"/>
  <c r="L24" i="10"/>
  <c r="AL24" i="10" s="1"/>
  <c r="AD26" i="10"/>
  <c r="AH26" i="10" s="1"/>
  <c r="AG23" i="10"/>
  <c r="X23" i="10" s="1"/>
  <c r="L17" i="10"/>
  <c r="AF10" i="10"/>
  <c r="W10" i="10" s="1"/>
  <c r="AD10" i="10"/>
  <c r="AH10" i="10" s="1"/>
  <c r="L26" i="9"/>
  <c r="AL26" i="9" s="1"/>
  <c r="AF8" i="8"/>
  <c r="W8" i="8" s="1"/>
  <c r="L11" i="6"/>
  <c r="V11" i="6" s="1"/>
  <c r="AK11" i="6" s="1"/>
  <c r="L25" i="7"/>
  <c r="L24" i="7"/>
  <c r="AL24" i="7" s="1"/>
  <c r="AF30" i="11"/>
  <c r="W30" i="11" s="1"/>
  <c r="L32" i="12"/>
  <c r="AK32" i="12" s="1"/>
  <c r="AG32" i="11"/>
  <c r="X32" i="11" s="1"/>
  <c r="AD31" i="11"/>
  <c r="AH31" i="11" s="1"/>
  <c r="AG30" i="11"/>
  <c r="X30" i="11" s="1"/>
  <c r="AD29" i="11"/>
  <c r="AH29" i="11" s="1"/>
  <c r="AG28" i="11"/>
  <c r="X28" i="11" s="1"/>
  <c r="AG23" i="11"/>
  <c r="X23" i="11" s="1"/>
  <c r="AG20" i="11"/>
  <c r="X20" i="11" s="1"/>
  <c r="AG17" i="11"/>
  <c r="X17" i="11" s="1"/>
  <c r="AD11" i="11"/>
  <c r="AH11" i="11" s="1"/>
  <c r="AG7" i="11"/>
  <c r="X7" i="11" s="1"/>
  <c r="AG33" i="12"/>
  <c r="X33" i="12" s="1"/>
  <c r="AG32" i="12"/>
  <c r="X32" i="12" s="1"/>
  <c r="L20" i="12"/>
  <c r="AF14" i="12"/>
  <c r="W14" i="12" s="1"/>
  <c r="AD9" i="12"/>
  <c r="AH9" i="12" s="1"/>
  <c r="AF35" i="13"/>
  <c r="W35" i="13" s="1"/>
  <c r="AF28" i="13"/>
  <c r="W28" i="13" s="1"/>
  <c r="AD13" i="13"/>
  <c r="AH13" i="13" s="1"/>
  <c r="AF10" i="13"/>
  <c r="W10" i="13" s="1"/>
  <c r="AF35" i="12"/>
  <c r="W35" i="12" s="1"/>
  <c r="L34" i="11"/>
  <c r="L36" i="11"/>
  <c r="AD35" i="11"/>
  <c r="AH35" i="11" s="1"/>
  <c r="AF34" i="11"/>
  <c r="W34" i="11" s="1"/>
  <c r="AD30" i="11"/>
  <c r="AH30" i="11" s="1"/>
  <c r="L27" i="11"/>
  <c r="AL27" i="11" s="1"/>
  <c r="AF26" i="11"/>
  <c r="W26" i="11" s="1"/>
  <c r="AG25" i="11"/>
  <c r="X25" i="11" s="1"/>
  <c r="AG22" i="11"/>
  <c r="X22" i="11" s="1"/>
  <c r="AG18" i="11"/>
  <c r="X18" i="11" s="1"/>
  <c r="AD31" i="12"/>
  <c r="AH31" i="12" s="1"/>
  <c r="AD30" i="12"/>
  <c r="AH30" i="12" s="1"/>
  <c r="AF30" i="12"/>
  <c r="W30" i="12" s="1"/>
  <c r="AD27" i="12"/>
  <c r="AH27" i="12" s="1"/>
  <c r="AD16" i="13"/>
  <c r="AH16" i="13" s="1"/>
  <c r="AG15" i="13"/>
  <c r="X15" i="13" s="1"/>
  <c r="AG12" i="13"/>
  <c r="X12" i="13" s="1"/>
  <c r="AG11" i="13"/>
  <c r="X11" i="13" s="1"/>
  <c r="AD10" i="13"/>
  <c r="AH10" i="13" s="1"/>
  <c r="L8" i="13"/>
  <c r="L22" i="5"/>
  <c r="L16" i="5"/>
  <c r="AL16" i="5" s="1"/>
  <c r="AG15" i="5"/>
  <c r="X15" i="5" s="1"/>
  <c r="AD24" i="7"/>
  <c r="AH24" i="7" s="1"/>
  <c r="L19" i="7"/>
  <c r="V19" i="7" s="1"/>
  <c r="L28" i="11"/>
  <c r="AL28" i="11" s="1"/>
  <c r="AT38" i="12"/>
  <c r="AM38" i="12" s="1"/>
  <c r="AF26" i="5"/>
  <c r="W26" i="5" s="1"/>
  <c r="AF23" i="5"/>
  <c r="W23" i="5" s="1"/>
  <c r="AF36" i="7"/>
  <c r="W36" i="7" s="1"/>
  <c r="AF25" i="8"/>
  <c r="W25" i="8" s="1"/>
  <c r="AF13" i="8"/>
  <c r="W13" i="8" s="1"/>
  <c r="L20" i="9"/>
  <c r="AL20" i="9" s="1"/>
  <c r="AD21" i="11"/>
  <c r="AH21" i="11" s="1"/>
  <c r="L20" i="11"/>
  <c r="AF20" i="11"/>
  <c r="W20" i="11" s="1"/>
  <c r="L15" i="11"/>
  <c r="L14" i="11"/>
  <c r="AL14" i="11" s="1"/>
  <c r="AD14" i="11"/>
  <c r="AH14" i="11" s="1"/>
  <c r="L13" i="11"/>
  <c r="AL13" i="11" s="1"/>
  <c r="AF11" i="11"/>
  <c r="W11" i="11" s="1"/>
  <c r="AG8" i="11"/>
  <c r="X8" i="11" s="1"/>
  <c r="L7" i="11"/>
  <c r="AL7" i="11" s="1"/>
  <c r="AG35" i="12"/>
  <c r="X35" i="12" s="1"/>
  <c r="L34" i="12"/>
  <c r="L26" i="12"/>
  <c r="AK26" i="12" s="1"/>
  <c r="AG22" i="12"/>
  <c r="X22" i="12" s="1"/>
  <c r="AF21" i="12"/>
  <c r="W21" i="12" s="1"/>
  <c r="L19" i="12"/>
  <c r="AK19" i="12" s="1"/>
  <c r="AF19" i="12"/>
  <c r="W19" i="12" s="1"/>
  <c r="AG18" i="12"/>
  <c r="X18" i="12" s="1"/>
  <c r="AF17" i="12"/>
  <c r="W17" i="12" s="1"/>
  <c r="L12" i="12"/>
  <c r="AK12" i="12" s="1"/>
  <c r="AF10" i="12"/>
  <c r="W10" i="12" s="1"/>
  <c r="AL7" i="12"/>
  <c r="L36" i="13"/>
  <c r="AD33" i="13"/>
  <c r="AH33" i="13" s="1"/>
  <c r="AD32" i="13"/>
  <c r="AH32" i="13" s="1"/>
  <c r="AF30" i="13"/>
  <c r="W30" i="13" s="1"/>
  <c r="L29" i="13"/>
  <c r="AL29" i="13" s="1"/>
  <c r="AD29" i="13"/>
  <c r="AH29" i="13" s="1"/>
  <c r="AG28" i="13"/>
  <c r="X28" i="13" s="1"/>
  <c r="AG23" i="13"/>
  <c r="X23" i="13" s="1"/>
  <c r="AD20" i="13"/>
  <c r="AH20" i="13" s="1"/>
  <c r="AG19" i="13"/>
  <c r="X19" i="13" s="1"/>
  <c r="AD18" i="13"/>
  <c r="AH18" i="13" s="1"/>
  <c r="L15" i="13"/>
  <c r="AD14" i="13"/>
  <c r="AH14" i="13" s="1"/>
  <c r="AF11" i="13"/>
  <c r="W11" i="13" s="1"/>
  <c r="AG9" i="13"/>
  <c r="X9" i="13" s="1"/>
  <c r="L37" i="5"/>
  <c r="AG33" i="5"/>
  <c r="X33" i="5" s="1"/>
  <c r="L29" i="5"/>
  <c r="AG29" i="5"/>
  <c r="X29" i="5" s="1"/>
  <c r="L23" i="5"/>
  <c r="AG21" i="5"/>
  <c r="X21" i="5" s="1"/>
  <c r="AG17" i="5"/>
  <c r="X17" i="5" s="1"/>
  <c r="AG36" i="7"/>
  <c r="X36" i="7" s="1"/>
  <c r="AG24" i="7"/>
  <c r="X24" i="7" s="1"/>
  <c r="AG22" i="7"/>
  <c r="X22" i="7" s="1"/>
  <c r="AD18" i="7"/>
  <c r="AH18" i="7" s="1"/>
  <c r="AG28" i="8"/>
  <c r="X28" i="8" s="1"/>
  <c r="AD25" i="8"/>
  <c r="AH25" i="8" s="1"/>
  <c r="L21" i="8"/>
  <c r="AG14" i="8"/>
  <c r="X14" i="8" s="1"/>
  <c r="L33" i="9"/>
  <c r="AL33" i="9" s="1"/>
  <c r="AF36" i="14"/>
  <c r="W36" i="14" s="1"/>
  <c r="AG34" i="14"/>
  <c r="X34" i="14" s="1"/>
  <c r="L28" i="14"/>
  <c r="AK28" i="14" s="1"/>
  <c r="AD22" i="14"/>
  <c r="AH22" i="14" s="1"/>
  <c r="L15" i="14"/>
  <c r="L14" i="14"/>
  <c r="AK14" i="14" s="1"/>
  <c r="AF9" i="14"/>
  <c r="W9" i="14" s="1"/>
  <c r="L19" i="9"/>
  <c r="AL19" i="9" s="1"/>
  <c r="L13" i="9"/>
  <c r="AL13" i="9" s="1"/>
  <c r="AD33" i="3"/>
  <c r="AH33" i="3" s="1"/>
  <c r="AG32" i="3"/>
  <c r="X32" i="3" s="1"/>
  <c r="AG19" i="3"/>
  <c r="X19" i="3" s="1"/>
  <c r="L35" i="14"/>
  <c r="AK35" i="14" s="1"/>
  <c r="AF26" i="14"/>
  <c r="W26" i="14" s="1"/>
  <c r="L21" i="14"/>
  <c r="AK21" i="14" s="1"/>
  <c r="AF19" i="14"/>
  <c r="W19" i="14" s="1"/>
  <c r="AF17" i="14"/>
  <c r="W17" i="14" s="1"/>
  <c r="L13" i="14"/>
  <c r="AK13" i="14" s="1"/>
  <c r="AG9" i="14"/>
  <c r="X9" i="14" s="1"/>
  <c r="AG34" i="10"/>
  <c r="X34" i="10" s="1"/>
  <c r="AD33" i="10"/>
  <c r="AH33" i="10" s="1"/>
  <c r="AF31" i="10"/>
  <c r="W31" i="10" s="1"/>
  <c r="AD29" i="10"/>
  <c r="AH29" i="10" s="1"/>
  <c r="L23" i="10"/>
  <c r="AL23" i="10" s="1"/>
  <c r="AG20" i="10"/>
  <c r="X20" i="10" s="1"/>
  <c r="AL19" i="10"/>
  <c r="AG17" i="10"/>
  <c r="X17" i="10" s="1"/>
  <c r="AF15" i="10"/>
  <c r="W15" i="10" s="1"/>
  <c r="AD14" i="10"/>
  <c r="AH14" i="10" s="1"/>
  <c r="AF11" i="10"/>
  <c r="W11" i="10" s="1"/>
  <c r="AG8" i="10"/>
  <c r="X8" i="10" s="1"/>
  <c r="AG18" i="7"/>
  <c r="X18" i="7" s="1"/>
  <c r="AG15" i="7"/>
  <c r="X15" i="7" s="1"/>
  <c r="AD14" i="7"/>
  <c r="AH14" i="7" s="1"/>
  <c r="L15" i="8"/>
  <c r="L34" i="9"/>
  <c r="AL34" i="9" s="1"/>
  <c r="L27" i="9"/>
  <c r="AL27" i="9" s="1"/>
  <c r="AD26" i="9"/>
  <c r="AH26" i="9" s="1"/>
  <c r="AG25" i="9"/>
  <c r="X25" i="9" s="1"/>
  <c r="L12" i="9"/>
  <c r="AL12" i="9" s="1"/>
  <c r="AG7" i="9"/>
  <c r="X7" i="9" s="1"/>
  <c r="AF31" i="14"/>
  <c r="W31" i="14" s="1"/>
  <c r="AG26" i="14"/>
  <c r="X26" i="14" s="1"/>
  <c r="AG25" i="14"/>
  <c r="X25" i="14" s="1"/>
  <c r="AG19" i="14"/>
  <c r="X19" i="14" s="1"/>
  <c r="AG17" i="14"/>
  <c r="X17" i="14" s="1"/>
  <c r="AG10" i="14"/>
  <c r="X10" i="14" s="1"/>
  <c r="AL9" i="14"/>
  <c r="L7" i="14"/>
  <c r="AK7" i="14" s="1"/>
  <c r="AD7" i="14"/>
  <c r="AH7" i="14" s="1"/>
  <c r="L35" i="6"/>
  <c r="AF27" i="6"/>
  <c r="W27" i="6" s="1"/>
  <c r="L20" i="6"/>
  <c r="L10" i="10"/>
  <c r="AD9" i="10"/>
  <c r="AH9" i="10" s="1"/>
  <c r="L20" i="14"/>
  <c r="AK20" i="14" s="1"/>
  <c r="L30" i="10"/>
  <c r="AG29" i="10"/>
  <c r="X29" i="10" s="1"/>
  <c r="AG28" i="10"/>
  <c r="X28" i="10" s="1"/>
  <c r="AD27" i="10"/>
  <c r="AH27" i="10" s="1"/>
  <c r="AG26" i="10"/>
  <c r="X26" i="10" s="1"/>
  <c r="AF26" i="10"/>
  <c r="W26" i="10" s="1"/>
  <c r="AF18" i="10"/>
  <c r="W18" i="10" s="1"/>
  <c r="L16" i="10"/>
  <c r="AL16" i="10" s="1"/>
  <c r="AG10" i="10"/>
  <c r="X10" i="10" s="1"/>
  <c r="L9" i="10"/>
  <c r="AL9" i="10" s="1"/>
  <c r="AD30" i="8"/>
  <c r="AH30" i="8" s="1"/>
  <c r="AF12" i="8"/>
  <c r="W12" i="8" s="1"/>
  <c r="L23" i="8"/>
  <c r="AF15" i="8"/>
  <c r="W15" i="8" s="1"/>
  <c r="AD10" i="8"/>
  <c r="AH10" i="8" s="1"/>
  <c r="AG8" i="8"/>
  <c r="X8" i="8" s="1"/>
  <c r="AG12" i="8"/>
  <c r="X12" i="8" s="1"/>
  <c r="AG34" i="7"/>
  <c r="X34" i="7" s="1"/>
  <c r="AG30" i="7"/>
  <c r="X30" i="7" s="1"/>
  <c r="AG14" i="7"/>
  <c r="X14" i="7" s="1"/>
  <c r="AG32" i="7"/>
  <c r="X32" i="7" s="1"/>
  <c r="AL31" i="7"/>
  <c r="AD20" i="7"/>
  <c r="AH20" i="7" s="1"/>
  <c r="AG31" i="7"/>
  <c r="X31" i="7" s="1"/>
  <c r="AF23" i="7"/>
  <c r="W23" i="7" s="1"/>
  <c r="AF31" i="7"/>
  <c r="W31" i="7" s="1"/>
  <c r="AG11" i="7"/>
  <c r="X11" i="7" s="1"/>
  <c r="AG32" i="6"/>
  <c r="X32" i="6" s="1"/>
  <c r="AG23" i="5"/>
  <c r="X23" i="5" s="1"/>
  <c r="AD33" i="5"/>
  <c r="AH33" i="5" s="1"/>
  <c r="AF25" i="5"/>
  <c r="W25" i="5" s="1"/>
  <c r="AF37" i="5"/>
  <c r="W37" i="5" s="1"/>
  <c r="AG36" i="5"/>
  <c r="X36" i="5" s="1"/>
  <c r="AF13" i="4"/>
  <c r="W13" i="4" s="1"/>
  <c r="AF16" i="4"/>
  <c r="W16" i="4" s="1"/>
  <c r="AD26" i="8"/>
  <c r="AH26" i="8" s="1"/>
  <c r="AG18" i="8"/>
  <c r="X18" i="8" s="1"/>
  <c r="AF30" i="7"/>
  <c r="W30" i="7" s="1"/>
  <c r="AG29" i="7"/>
  <c r="X29" i="7" s="1"/>
  <c r="AD29" i="7"/>
  <c r="AH29" i="7" s="1"/>
  <c r="AD22" i="7"/>
  <c r="AH22" i="7" s="1"/>
  <c r="AF16" i="7"/>
  <c r="W16" i="7" s="1"/>
  <c r="AG16" i="7"/>
  <c r="X16" i="7" s="1"/>
  <c r="AG9" i="7"/>
  <c r="X9" i="7" s="1"/>
  <c r="AD9" i="7"/>
  <c r="AH9" i="7" s="1"/>
  <c r="AG8" i="7"/>
  <c r="X8" i="7" s="1"/>
  <c r="AD8" i="7"/>
  <c r="AH8" i="7" s="1"/>
  <c r="AG10" i="8"/>
  <c r="X10" i="8" s="1"/>
  <c r="L9" i="8"/>
  <c r="AD8" i="8"/>
  <c r="AH8" i="8" s="1"/>
  <c r="AD36" i="8"/>
  <c r="AH36" i="8" s="1"/>
  <c r="L30" i="8"/>
  <c r="AL30" i="8" s="1"/>
  <c r="AG29" i="8"/>
  <c r="X29" i="8" s="1"/>
  <c r="AD21" i="8"/>
  <c r="AH21" i="8" s="1"/>
  <c r="AF23" i="8"/>
  <c r="W23" i="8" s="1"/>
  <c r="AF22" i="8"/>
  <c r="W22" i="8" s="1"/>
  <c r="AG21" i="8"/>
  <c r="X21" i="8" s="1"/>
  <c r="AF17" i="8"/>
  <c r="W17" i="8" s="1"/>
  <c r="AG16" i="8"/>
  <c r="X16" i="8" s="1"/>
  <c r="AG15" i="8"/>
  <c r="X15" i="8" s="1"/>
  <c r="AF16" i="8"/>
  <c r="W16" i="8" s="1"/>
  <c r="AD15" i="8"/>
  <c r="AH15" i="8" s="1"/>
  <c r="AD26" i="7"/>
  <c r="AH26" i="7" s="1"/>
  <c r="AF24" i="7"/>
  <c r="W24" i="7" s="1"/>
  <c r="AD34" i="7"/>
  <c r="AH34" i="7" s="1"/>
  <c r="AG17" i="7"/>
  <c r="X17" i="7" s="1"/>
  <c r="AD17" i="7"/>
  <c r="AH17" i="7" s="1"/>
  <c r="AG20" i="7"/>
  <c r="X20" i="7" s="1"/>
  <c r="AG12" i="7"/>
  <c r="X12" i="7" s="1"/>
  <c r="AD13" i="7"/>
  <c r="AH13" i="7" s="1"/>
  <c r="AG10" i="7"/>
  <c r="X10" i="7" s="1"/>
  <c r="L12" i="7"/>
  <c r="AF10" i="7"/>
  <c r="W10" i="7" s="1"/>
  <c r="AD19" i="6"/>
  <c r="AH19" i="6" s="1"/>
  <c r="L19" i="6"/>
  <c r="V19" i="6" s="1"/>
  <c r="AK19" i="6" s="1"/>
  <c r="AF27" i="5"/>
  <c r="W27" i="5" s="1"/>
  <c r="AG27" i="5"/>
  <c r="X27" i="5" s="1"/>
  <c r="AF14" i="5"/>
  <c r="W14" i="5" s="1"/>
  <c r="AG13" i="5"/>
  <c r="X13" i="5" s="1"/>
  <c r="AD13" i="5"/>
  <c r="AH13" i="5" s="1"/>
  <c r="AG33" i="6"/>
  <c r="X33" i="6" s="1"/>
  <c r="AL29" i="6"/>
  <c r="AD22" i="6"/>
  <c r="AH22" i="6" s="1"/>
  <c r="L21" i="6"/>
  <c r="AL21" i="6" s="1"/>
  <c r="AL36" i="5"/>
  <c r="AD32" i="5"/>
  <c r="AH32" i="5" s="1"/>
  <c r="L30" i="5"/>
  <c r="AL30" i="5" s="1"/>
  <c r="AG30" i="5"/>
  <c r="X30" i="5" s="1"/>
  <c r="AL33" i="5"/>
  <c r="AD22" i="5"/>
  <c r="AH22" i="5" s="1"/>
  <c r="L10" i="5"/>
  <c r="L31" i="4"/>
  <c r="AD27" i="4"/>
  <c r="AH27" i="4" s="1"/>
  <c r="AG36" i="3"/>
  <c r="X36" i="3" s="1"/>
  <c r="L34" i="3"/>
  <c r="AL34" i="3" s="1"/>
  <c r="L20" i="3"/>
  <c r="AL20" i="3" s="1"/>
  <c r="AK21" i="13"/>
  <c r="L17" i="13"/>
  <c r="V17" i="13" s="1"/>
  <c r="AK17" i="13" s="1"/>
  <c r="L7" i="8"/>
  <c r="V7" i="8" s="1"/>
  <c r="AK7" i="8" s="1"/>
  <c r="AF27" i="7"/>
  <c r="W27" i="7" s="1"/>
  <c r="AF28" i="7"/>
  <c r="W28" i="7" s="1"/>
  <c r="AG28" i="7"/>
  <c r="X28" i="7" s="1"/>
  <c r="L28" i="6"/>
  <c r="AZ44" i="11"/>
  <c r="T40" i="11" s="1"/>
  <c r="AL33" i="4"/>
  <c r="AF9" i="4"/>
  <c r="AB36" i="4"/>
  <c r="AB37" i="4" s="1"/>
  <c r="AB38" i="4" s="1"/>
  <c r="AG18" i="4"/>
  <c r="X18" i="4" s="1"/>
  <c r="AF23" i="4"/>
  <c r="W23" i="4" s="1"/>
  <c r="S10" i="4"/>
  <c r="AS36" i="4"/>
  <c r="R10" i="4"/>
  <c r="M45" i="4" s="1"/>
  <c r="AR36" i="4"/>
  <c r="AI36" i="4"/>
  <c r="AI37" i="4" s="1"/>
  <c r="AI38" i="4" s="1"/>
  <c r="Q10" i="4"/>
  <c r="AQ36" i="4"/>
  <c r="AE36" i="4"/>
  <c r="AT36" i="4"/>
  <c r="AM36" i="4" s="1"/>
  <c r="T10" i="4"/>
  <c r="AP36" i="4"/>
  <c r="AC36" i="4"/>
  <c r="AC37" i="4" s="1"/>
  <c r="AC38" i="4" s="1"/>
  <c r="AD32" i="11"/>
  <c r="AH32" i="11" s="1"/>
  <c r="AD27" i="11"/>
  <c r="AH27" i="11" s="1"/>
  <c r="AF22" i="11"/>
  <c r="W22" i="11" s="1"/>
  <c r="AF18" i="11"/>
  <c r="W18" i="11" s="1"/>
  <c r="AD13" i="11"/>
  <c r="AH13" i="11" s="1"/>
  <c r="AG7" i="12"/>
  <c r="AD26" i="13"/>
  <c r="AH26" i="13" s="1"/>
  <c r="AD28" i="5"/>
  <c r="AH28" i="5" s="1"/>
  <c r="AF15" i="5"/>
  <c r="W15" i="5" s="1"/>
  <c r="AG35" i="7"/>
  <c r="X35" i="7" s="1"/>
  <c r="AF32" i="7"/>
  <c r="W32" i="7" s="1"/>
  <c r="AG23" i="7"/>
  <c r="X23" i="7" s="1"/>
  <c r="AG21" i="7"/>
  <c r="X21" i="7" s="1"/>
  <c r="AD34" i="8"/>
  <c r="AH34" i="8" s="1"/>
  <c r="AG31" i="11"/>
  <c r="X31" i="11" s="1"/>
  <c r="AG29" i="11"/>
  <c r="X29" i="11" s="1"/>
  <c r="AD25" i="11"/>
  <c r="AH25" i="11" s="1"/>
  <c r="AD22" i="11"/>
  <c r="AH22" i="11" s="1"/>
  <c r="AG19" i="11"/>
  <c r="X19" i="11" s="1"/>
  <c r="AD18" i="11"/>
  <c r="AH18" i="11" s="1"/>
  <c r="AF15" i="11"/>
  <c r="W15" i="11" s="1"/>
  <c r="AD36" i="12"/>
  <c r="AH36" i="12" s="1"/>
  <c r="AD35" i="12"/>
  <c r="AH35" i="12" s="1"/>
  <c r="AF31" i="12"/>
  <c r="W31" i="12" s="1"/>
  <c r="AD29" i="12"/>
  <c r="AH29" i="12" s="1"/>
  <c r="AD26" i="12"/>
  <c r="AH26" i="12" s="1"/>
  <c r="AD12" i="12"/>
  <c r="AH12" i="12" s="1"/>
  <c r="AG11" i="12"/>
  <c r="X11" i="12" s="1"/>
  <c r="AD28" i="13"/>
  <c r="AH28" i="13" s="1"/>
  <c r="AG24" i="13"/>
  <c r="X24" i="13" s="1"/>
  <c r="AG21" i="13"/>
  <c r="X21" i="13" s="1"/>
  <c r="AG10" i="13"/>
  <c r="X10" i="13" s="1"/>
  <c r="AD8" i="13"/>
  <c r="AH8" i="13" s="1"/>
  <c r="AG26" i="5"/>
  <c r="X26" i="5" s="1"/>
  <c r="AD21" i="5"/>
  <c r="AH21" i="5" s="1"/>
  <c r="AL20" i="7"/>
  <c r="AD15" i="7"/>
  <c r="AH15" i="7" s="1"/>
  <c r="AF15" i="7"/>
  <c r="W15" i="7" s="1"/>
  <c r="AG24" i="8"/>
  <c r="X24" i="8" s="1"/>
  <c r="AD8" i="4"/>
  <c r="AH8" i="4" s="1"/>
  <c r="AF8" i="4"/>
  <c r="W8" i="4" s="1"/>
  <c r="AD10" i="14"/>
  <c r="AH10" i="14" s="1"/>
  <c r="AF10" i="14"/>
  <c r="W10" i="14" s="1"/>
  <c r="R48" i="13"/>
  <c r="AL32" i="5"/>
  <c r="AD19" i="7"/>
  <c r="AH19" i="7" s="1"/>
  <c r="AF19" i="7"/>
  <c r="W19" i="7" s="1"/>
  <c r="AF19" i="8"/>
  <c r="W19" i="8" s="1"/>
  <c r="AD19" i="8"/>
  <c r="AH19" i="8" s="1"/>
  <c r="AD22" i="10"/>
  <c r="AH22" i="10" s="1"/>
  <c r="AF22" i="10"/>
  <c r="W22" i="10" s="1"/>
  <c r="AL30" i="11"/>
  <c r="L13" i="12"/>
  <c r="AD28" i="12"/>
  <c r="AH28" i="12" s="1"/>
  <c r="AD20" i="12"/>
  <c r="AH20" i="12" s="1"/>
  <c r="AF14" i="13"/>
  <c r="W14" i="13" s="1"/>
  <c r="AG13" i="13"/>
  <c r="X13" i="13" s="1"/>
  <c r="AG12" i="5"/>
  <c r="X12" i="5" s="1"/>
  <c r="L33" i="7"/>
  <c r="AF20" i="7"/>
  <c r="W20" i="7" s="1"/>
  <c r="AD16" i="7"/>
  <c r="AH16" i="7" s="1"/>
  <c r="AD27" i="8"/>
  <c r="AH27" i="8" s="1"/>
  <c r="AD13" i="8"/>
  <c r="AH13" i="8" s="1"/>
  <c r="AF23" i="12"/>
  <c r="W23" i="12" s="1"/>
  <c r="AD33" i="11"/>
  <c r="AH33" i="11" s="1"/>
  <c r="AF31" i="11"/>
  <c r="W31" i="11" s="1"/>
  <c r="AD24" i="12"/>
  <c r="AH24" i="12" s="1"/>
  <c r="AG21" i="12"/>
  <c r="X21" i="12" s="1"/>
  <c r="AD18" i="12"/>
  <c r="AH18" i="12" s="1"/>
  <c r="AD14" i="12"/>
  <c r="AH14" i="12" s="1"/>
  <c r="AD10" i="12"/>
  <c r="AH10" i="12" s="1"/>
  <c r="AD36" i="13"/>
  <c r="AH36" i="13" s="1"/>
  <c r="AG35" i="13"/>
  <c r="X35" i="13" s="1"/>
  <c r="AG33" i="13"/>
  <c r="X33" i="13" s="1"/>
  <c r="AF31" i="13"/>
  <c r="W31" i="13" s="1"/>
  <c r="AG29" i="13"/>
  <c r="X29" i="13" s="1"/>
  <c r="AF24" i="13"/>
  <c r="W24" i="13" s="1"/>
  <c r="AD21" i="13"/>
  <c r="AH21" i="13" s="1"/>
  <c r="AG11" i="5"/>
  <c r="X11" i="5" s="1"/>
  <c r="AF7" i="5"/>
  <c r="W7" i="5" s="1"/>
  <c r="AD37" i="7"/>
  <c r="AH37" i="7" s="1"/>
  <c r="AF37" i="7"/>
  <c r="W37" i="7" s="1"/>
  <c r="AG27" i="7"/>
  <c r="X27" i="7" s="1"/>
  <c r="AF27" i="8"/>
  <c r="W27" i="8" s="1"/>
  <c r="AZ44" i="12"/>
  <c r="T41" i="12" s="1"/>
  <c r="AD36" i="11"/>
  <c r="AH36" i="11" s="1"/>
  <c r="AF23" i="11"/>
  <c r="W23" i="11" s="1"/>
  <c r="AD17" i="11"/>
  <c r="AH17" i="11" s="1"/>
  <c r="AF12" i="11"/>
  <c r="W12" i="11" s="1"/>
  <c r="AL11" i="11"/>
  <c r="AF7" i="11"/>
  <c r="W7" i="11" s="1"/>
  <c r="AD33" i="12"/>
  <c r="AH33" i="12" s="1"/>
  <c r="AG23" i="12"/>
  <c r="X23" i="12" s="1"/>
  <c r="AD19" i="12"/>
  <c r="AH19" i="12" s="1"/>
  <c r="AG17" i="12"/>
  <c r="X17" i="12" s="1"/>
  <c r="AF7" i="12"/>
  <c r="AT38" i="5"/>
  <c r="AM38" i="5" s="1"/>
  <c r="AM39" i="5" s="1"/>
  <c r="U51" i="5" s="1"/>
  <c r="AD10" i="7"/>
  <c r="AH10" i="7" s="1"/>
  <c r="AG34" i="8"/>
  <c r="X34" i="8" s="1"/>
  <c r="AG31" i="8"/>
  <c r="X31" i="8" s="1"/>
  <c r="AD29" i="8"/>
  <c r="AH29" i="8" s="1"/>
  <c r="AD23" i="8"/>
  <c r="AH23" i="8" s="1"/>
  <c r="AG20" i="8"/>
  <c r="X20" i="8" s="1"/>
  <c r="AD18" i="8"/>
  <c r="AH18" i="8" s="1"/>
  <c r="AF18" i="8"/>
  <c r="W18" i="8" s="1"/>
  <c r="L16" i="8"/>
  <c r="AG9" i="8"/>
  <c r="X9" i="8" s="1"/>
  <c r="L27" i="12"/>
  <c r="AL27" i="12" s="1"/>
  <c r="AF18" i="13"/>
  <c r="W18" i="13" s="1"/>
  <c r="AG35" i="11"/>
  <c r="X35" i="11" s="1"/>
  <c r="AG27" i="11"/>
  <c r="X27" i="11" s="1"/>
  <c r="AD23" i="11"/>
  <c r="AH23" i="11" s="1"/>
  <c r="L22" i="11"/>
  <c r="AD7" i="11"/>
  <c r="AH7" i="11" s="1"/>
  <c r="AG36" i="12"/>
  <c r="X36" i="12" s="1"/>
  <c r="AG31" i="12"/>
  <c r="X31" i="12" s="1"/>
  <c r="AG29" i="12"/>
  <c r="X29" i="12" s="1"/>
  <c r="AF26" i="12"/>
  <c r="W26" i="12" s="1"/>
  <c r="AF25" i="12"/>
  <c r="W25" i="12" s="1"/>
  <c r="AD21" i="12"/>
  <c r="AH21" i="12" s="1"/>
  <c r="AL14" i="12"/>
  <c r="AF11" i="12"/>
  <c r="W11" i="12" s="1"/>
  <c r="AG9" i="12"/>
  <c r="X9" i="12" s="1"/>
  <c r="AL34" i="13"/>
  <c r="AL32" i="13"/>
  <c r="AF26" i="13"/>
  <c r="W26" i="13" s="1"/>
  <c r="AD19" i="5"/>
  <c r="AH19" i="5" s="1"/>
  <c r="AG18" i="5"/>
  <c r="X18" i="5" s="1"/>
  <c r="AG14" i="5"/>
  <c r="X14" i="5" s="1"/>
  <c r="AD30" i="7"/>
  <c r="AH30" i="7" s="1"/>
  <c r="AF12" i="14"/>
  <c r="W12" i="14" s="1"/>
  <c r="AD12" i="14"/>
  <c r="AH12" i="14" s="1"/>
  <c r="AT38" i="10"/>
  <c r="AD13" i="9"/>
  <c r="AH13" i="9" s="1"/>
  <c r="AG27" i="4"/>
  <c r="X27" i="4" s="1"/>
  <c r="AD30" i="6"/>
  <c r="AH30" i="6" s="1"/>
  <c r="AG33" i="10"/>
  <c r="X33" i="10" s="1"/>
  <c r="AD24" i="5"/>
  <c r="AH24" i="5" s="1"/>
  <c r="AL19" i="5"/>
  <c r="AF34" i="7"/>
  <c r="W34" i="7" s="1"/>
  <c r="AD27" i="7"/>
  <c r="AH27" i="7" s="1"/>
  <c r="AG19" i="7"/>
  <c r="X19" i="7" s="1"/>
  <c r="AF12" i="7"/>
  <c r="W12" i="7" s="1"/>
  <c r="AF8" i="7"/>
  <c r="W8" i="7" s="1"/>
  <c r="AF31" i="8"/>
  <c r="W31" i="8" s="1"/>
  <c r="AG23" i="8"/>
  <c r="X23" i="8" s="1"/>
  <c r="AD22" i="8"/>
  <c r="AH22" i="8" s="1"/>
  <c r="AF21" i="8"/>
  <c r="W21" i="8" s="1"/>
  <c r="AD17" i="8"/>
  <c r="AH17" i="8" s="1"/>
  <c r="AD14" i="8"/>
  <c r="AH14" i="8" s="1"/>
  <c r="AF10" i="8"/>
  <c r="W10" i="8" s="1"/>
  <c r="AD9" i="8"/>
  <c r="AH9" i="8" s="1"/>
  <c r="L13" i="3"/>
  <c r="AL25" i="4"/>
  <c r="AF37" i="14"/>
  <c r="W37" i="14" s="1"/>
  <c r="AF28" i="14"/>
  <c r="W28" i="14" s="1"/>
  <c r="AF25" i="14"/>
  <c r="W25" i="14" s="1"/>
  <c r="AF28" i="6"/>
  <c r="W28" i="6" s="1"/>
  <c r="AD20" i="6"/>
  <c r="AH20" i="6" s="1"/>
  <c r="AL15" i="6"/>
  <c r="AD19" i="10"/>
  <c r="AH19" i="10" s="1"/>
  <c r="AG18" i="10"/>
  <c r="X18" i="10" s="1"/>
  <c r="AG12" i="10"/>
  <c r="X12" i="10" s="1"/>
  <c r="AF23" i="13"/>
  <c r="W23" i="13" s="1"/>
  <c r="AG18" i="13"/>
  <c r="X18" i="13" s="1"/>
  <c r="AF12" i="13"/>
  <c r="W12" i="13" s="1"/>
  <c r="AT37" i="13"/>
  <c r="AM37" i="13" s="1"/>
  <c r="AM38" i="13" s="1"/>
  <c r="U50" i="13" s="1"/>
  <c r="AG35" i="5"/>
  <c r="X35" i="5" s="1"/>
  <c r="L31" i="5"/>
  <c r="AL31" i="5" s="1"/>
  <c r="AD29" i="5"/>
  <c r="AH29" i="5" s="1"/>
  <c r="AL25" i="5"/>
  <c r="AD20" i="5"/>
  <c r="AH20" i="5" s="1"/>
  <c r="AD9" i="5"/>
  <c r="AH9" i="5" s="1"/>
  <c r="AD31" i="7"/>
  <c r="AH31" i="7" s="1"/>
  <c r="AD23" i="7"/>
  <c r="AH23" i="7" s="1"/>
  <c r="AF14" i="7"/>
  <c r="W14" i="7" s="1"/>
  <c r="AD11" i="7"/>
  <c r="AH11" i="7" s="1"/>
  <c r="AD35" i="8"/>
  <c r="AH35" i="8" s="1"/>
  <c r="AF33" i="8"/>
  <c r="W33" i="8" s="1"/>
  <c r="AF30" i="8"/>
  <c r="W30" i="8" s="1"/>
  <c r="AF26" i="8"/>
  <c r="W26" i="8" s="1"/>
  <c r="AD24" i="8"/>
  <c r="AH24" i="8" s="1"/>
  <c r="AD20" i="8"/>
  <c r="AH20" i="8" s="1"/>
  <c r="AG19" i="8"/>
  <c r="X19" i="8" s="1"/>
  <c r="AG13" i="8"/>
  <c r="X13" i="8" s="1"/>
  <c r="AG7" i="8"/>
  <c r="X7" i="8" s="1"/>
  <c r="AD7" i="4"/>
  <c r="AH7" i="4" s="1"/>
  <c r="AG37" i="14"/>
  <c r="X37" i="14" s="1"/>
  <c r="AG30" i="14"/>
  <c r="X30" i="14" s="1"/>
  <c r="AD26" i="14"/>
  <c r="AH26" i="14" s="1"/>
  <c r="AF23" i="14"/>
  <c r="W23" i="14" s="1"/>
  <c r="L22" i="14"/>
  <c r="AD21" i="14"/>
  <c r="AH21" i="14" s="1"/>
  <c r="AL12" i="14"/>
  <c r="AL36" i="6"/>
  <c r="AD29" i="6"/>
  <c r="AH29" i="6" s="1"/>
  <c r="L14" i="6"/>
  <c r="AF34" i="10"/>
  <c r="W34" i="10" s="1"/>
  <c r="AD31" i="10"/>
  <c r="AH31" i="10" s="1"/>
  <c r="AG27" i="10"/>
  <c r="X27" i="10" s="1"/>
  <c r="AG25" i="10"/>
  <c r="X25" i="10" s="1"/>
  <c r="AG22" i="10"/>
  <c r="X22" i="10" s="1"/>
  <c r="AG16" i="10"/>
  <c r="X16" i="10" s="1"/>
  <c r="AG14" i="10"/>
  <c r="X14" i="10" s="1"/>
  <c r="AG37" i="5"/>
  <c r="X37" i="5" s="1"/>
  <c r="AG34" i="5"/>
  <c r="X34" i="5" s="1"/>
  <c r="AG31" i="5"/>
  <c r="X31" i="5" s="1"/>
  <c r="AG25" i="5"/>
  <c r="X25" i="5" s="1"/>
  <c r="AF22" i="5"/>
  <c r="W22" i="5" s="1"/>
  <c r="AL12" i="5"/>
  <c r="AD36" i="7"/>
  <c r="AH36" i="7" s="1"/>
  <c r="AL35" i="7"/>
  <c r="AG25" i="7"/>
  <c r="X25" i="7" s="1"/>
  <c r="AF18" i="7"/>
  <c r="W18" i="7" s="1"/>
  <c r="AG13" i="7"/>
  <c r="X13" i="7" s="1"/>
  <c r="AD33" i="8"/>
  <c r="AH33" i="8" s="1"/>
  <c r="AD12" i="8"/>
  <c r="AH12" i="8" s="1"/>
  <c r="L27" i="3"/>
  <c r="AL27" i="3" s="1"/>
  <c r="L36" i="14"/>
  <c r="AD34" i="14"/>
  <c r="AH34" i="14" s="1"/>
  <c r="AG22" i="14"/>
  <c r="X22" i="14" s="1"/>
  <c r="AG20" i="14"/>
  <c r="X20" i="14" s="1"/>
  <c r="AF18" i="14"/>
  <c r="W18" i="14" s="1"/>
  <c r="AD14" i="14"/>
  <c r="AH14" i="14" s="1"/>
  <c r="AG36" i="6"/>
  <c r="X36" i="6" s="1"/>
  <c r="AG37" i="10"/>
  <c r="X37" i="10" s="1"/>
  <c r="L32" i="10"/>
  <c r="AL32" i="10" s="1"/>
  <c r="AF14" i="10"/>
  <c r="W14" i="10" s="1"/>
  <c r="AD7" i="10"/>
  <c r="AH7" i="10" s="1"/>
  <c r="AV7" i="4"/>
  <c r="AF20" i="14"/>
  <c r="W20" i="14" s="1"/>
  <c r="AG32" i="8"/>
  <c r="X32" i="8" s="1"/>
  <c r="AF29" i="8"/>
  <c r="W29" i="8" s="1"/>
  <c r="AD28" i="8"/>
  <c r="AH28" i="8" s="1"/>
  <c r="AG27" i="8"/>
  <c r="X27" i="8" s="1"/>
  <c r="AG25" i="8"/>
  <c r="X25" i="8" s="1"/>
  <c r="AD16" i="8"/>
  <c r="AH16" i="8" s="1"/>
  <c r="AG11" i="8"/>
  <c r="X11" i="8" s="1"/>
  <c r="AD7" i="8"/>
  <c r="AH7" i="8" s="1"/>
  <c r="AG35" i="14"/>
  <c r="X35" i="14" s="1"/>
  <c r="AG24" i="14"/>
  <c r="X24" i="14" s="1"/>
  <c r="AG16" i="14"/>
  <c r="X16" i="14" s="1"/>
  <c r="AD27" i="6"/>
  <c r="AH27" i="6" s="1"/>
  <c r="AG21" i="6"/>
  <c r="X21" i="6" s="1"/>
  <c r="AD15" i="6"/>
  <c r="AH15" i="6" s="1"/>
  <c r="L7" i="6"/>
  <c r="AF35" i="10"/>
  <c r="W35" i="10" s="1"/>
  <c r="AF27" i="10"/>
  <c r="W27" i="10" s="1"/>
  <c r="AG24" i="10"/>
  <c r="X24" i="10" s="1"/>
  <c r="AG19" i="10"/>
  <c r="X19" i="10" s="1"/>
  <c r="AG15" i="10"/>
  <c r="X15" i="10" s="1"/>
  <c r="AD9" i="9"/>
  <c r="AH9" i="9" s="1"/>
  <c r="AF29" i="14"/>
  <c r="W29" i="14" s="1"/>
  <c r="AG28" i="14"/>
  <c r="X28" i="14" s="1"/>
  <c r="AF27" i="14"/>
  <c r="W27" i="14" s="1"/>
  <c r="AF24" i="14"/>
  <c r="W24" i="14" s="1"/>
  <c r="AG18" i="14"/>
  <c r="X18" i="14" s="1"/>
  <c r="AG13" i="14"/>
  <c r="X13" i="14" s="1"/>
  <c r="AF8" i="14"/>
  <c r="W8" i="14" s="1"/>
  <c r="AD35" i="10"/>
  <c r="AH35" i="10" s="1"/>
  <c r="AF19" i="10"/>
  <c r="W19" i="10" s="1"/>
  <c r="AG9" i="10"/>
  <c r="X9" i="10" s="1"/>
  <c r="AF17" i="10"/>
  <c r="W17" i="10" s="1"/>
  <c r="AG7" i="10"/>
  <c r="X7" i="10" s="1"/>
  <c r="AK31" i="13"/>
  <c r="L31" i="13"/>
  <c r="AL31" i="13" s="1"/>
  <c r="AL10" i="14"/>
  <c r="AL22" i="10"/>
  <c r="L11" i="10"/>
  <c r="AL11" i="10" s="1"/>
  <c r="AK28" i="12"/>
  <c r="AL28" i="12"/>
  <c r="AL29" i="7"/>
  <c r="AK26" i="7"/>
  <c r="L26" i="7"/>
  <c r="AL26" i="7" s="1"/>
  <c r="AK10" i="13"/>
  <c r="L10" i="13"/>
  <c r="AL10" i="13" s="1"/>
  <c r="AK13" i="7"/>
  <c r="AL13" i="7"/>
  <c r="AK24" i="4"/>
  <c r="L24" i="4"/>
  <c r="AL24" i="4" s="1"/>
  <c r="AK8" i="14"/>
  <c r="AL20" i="10"/>
  <c r="AL15" i="12"/>
  <c r="AL28" i="7"/>
  <c r="AL25" i="11"/>
  <c r="L18" i="10"/>
  <c r="AK18" i="10" s="1"/>
  <c r="AL24" i="11"/>
  <c r="AL8" i="12"/>
  <c r="AL12" i="13"/>
  <c r="L24" i="5"/>
  <c r="AL24" i="5" s="1"/>
  <c r="AK34" i="7"/>
  <c r="AL34" i="7"/>
  <c r="AL14" i="7"/>
  <c r="AL32" i="8"/>
  <c r="AL25" i="8"/>
  <c r="AK17" i="8"/>
  <c r="AK18" i="4"/>
  <c r="AL18" i="4"/>
  <c r="AK16" i="14"/>
  <c r="AL16" i="14"/>
  <c r="AL15" i="10"/>
  <c r="AK31" i="8"/>
  <c r="AK17" i="4"/>
  <c r="L17" i="4"/>
  <c r="AL17" i="4" s="1"/>
  <c r="AK23" i="14"/>
  <c r="AL23" i="14"/>
  <c r="AL18" i="14"/>
  <c r="AK11" i="13"/>
  <c r="AL11" i="13"/>
  <c r="AL34" i="10"/>
  <c r="AL32" i="11"/>
  <c r="AL23" i="12"/>
  <c r="AL17" i="12"/>
  <c r="AL21" i="7"/>
  <c r="AK10" i="8"/>
  <c r="AL10" i="8"/>
  <c r="AK32" i="4"/>
  <c r="AL32" i="4"/>
  <c r="AK11" i="4"/>
  <c r="AL11" i="4"/>
  <c r="AL13" i="10"/>
  <c r="AL18" i="8"/>
  <c r="AL36" i="12"/>
  <c r="AL29" i="12"/>
  <c r="AL9" i="12"/>
  <c r="AL12" i="8"/>
  <c r="AK10" i="4"/>
  <c r="L10" i="4"/>
  <c r="AL10" i="4" s="1"/>
  <c r="AL29" i="10"/>
  <c r="AD22" i="9"/>
  <c r="AH22" i="9" s="1"/>
  <c r="AL31" i="9"/>
  <c r="AD14" i="9"/>
  <c r="AH14" i="9" s="1"/>
  <c r="AF12" i="9"/>
  <c r="W12" i="9" s="1"/>
  <c r="AL15" i="9"/>
  <c r="AD32" i="9"/>
  <c r="AH32" i="9" s="1"/>
  <c r="AG23" i="9"/>
  <c r="X23" i="9" s="1"/>
  <c r="AF36" i="9"/>
  <c r="W36" i="9" s="1"/>
  <c r="AF34" i="9"/>
  <c r="W34" i="9" s="1"/>
  <c r="AF32" i="9"/>
  <c r="W32" i="9" s="1"/>
  <c r="AD16" i="9"/>
  <c r="AH16" i="9" s="1"/>
  <c r="AL30" i="9"/>
  <c r="AL17" i="9"/>
  <c r="AL8" i="9"/>
  <c r="AD18" i="9"/>
  <c r="AH18" i="9" s="1"/>
  <c r="AF17" i="9"/>
  <c r="W17" i="9" s="1"/>
  <c r="AD30" i="9"/>
  <c r="AH30" i="9" s="1"/>
  <c r="AG29" i="9"/>
  <c r="X29" i="9" s="1"/>
  <c r="L28" i="9"/>
  <c r="AF25" i="9"/>
  <c r="W25" i="9" s="1"/>
  <c r="AF19" i="9"/>
  <c r="W19" i="9" s="1"/>
  <c r="AG31" i="9"/>
  <c r="X31" i="9" s="1"/>
  <c r="AF14" i="9"/>
  <c r="W14" i="9" s="1"/>
  <c r="AD8" i="9"/>
  <c r="AH8" i="9" s="1"/>
  <c r="AG33" i="9"/>
  <c r="X33" i="9" s="1"/>
  <c r="AG24" i="9"/>
  <c r="X24" i="9" s="1"/>
  <c r="AG17" i="9"/>
  <c r="X17" i="9" s="1"/>
  <c r="AG13" i="9"/>
  <c r="X13" i="9" s="1"/>
  <c r="AG12" i="9"/>
  <c r="X12" i="9" s="1"/>
  <c r="AD20" i="9"/>
  <c r="AH20" i="9" s="1"/>
  <c r="AG19" i="9"/>
  <c r="X19" i="9" s="1"/>
  <c r="AD12" i="9"/>
  <c r="AH12" i="9" s="1"/>
  <c r="AG36" i="9"/>
  <c r="X36" i="9" s="1"/>
  <c r="AF27" i="9"/>
  <c r="W27" i="9" s="1"/>
  <c r="AF24" i="9"/>
  <c r="W24" i="9" s="1"/>
  <c r="AL22" i="9"/>
  <c r="AG35" i="9"/>
  <c r="X35" i="9" s="1"/>
  <c r="AG22" i="9"/>
  <c r="X22" i="9" s="1"/>
  <c r="AL18" i="9"/>
  <c r="AG15" i="9"/>
  <c r="X15" i="9" s="1"/>
  <c r="AL23" i="9"/>
  <c r="AL16" i="9"/>
  <c r="AG34" i="9"/>
  <c r="X34" i="9" s="1"/>
  <c r="AD33" i="9"/>
  <c r="AH33" i="9" s="1"/>
  <c r="AD29" i="9"/>
  <c r="AH29" i="9" s="1"/>
  <c r="AG28" i="9"/>
  <c r="X28" i="9" s="1"/>
  <c r="AG11" i="9"/>
  <c r="X11" i="9" s="1"/>
  <c r="AD10" i="9"/>
  <c r="AH10" i="9" s="1"/>
  <c r="AL9" i="9"/>
  <c r="AF8" i="9"/>
  <c r="W8" i="9" s="1"/>
  <c r="AF31" i="9"/>
  <c r="W31" i="9" s="1"/>
  <c r="AL32" i="9"/>
  <c r="AG37" i="9"/>
  <c r="X37" i="9" s="1"/>
  <c r="AD34" i="9"/>
  <c r="AH34" i="9" s="1"/>
  <c r="AG32" i="9"/>
  <c r="X32" i="9" s="1"/>
  <c r="AG27" i="9"/>
  <c r="X27" i="9" s="1"/>
  <c r="AF20" i="9"/>
  <c r="W20" i="9" s="1"/>
  <c r="AG18" i="9"/>
  <c r="X18" i="9" s="1"/>
  <c r="AG9" i="9"/>
  <c r="X9" i="9" s="1"/>
  <c r="AD7" i="9"/>
  <c r="AZ44" i="9"/>
  <c r="T41" i="9" s="1"/>
  <c r="AK42" i="9" s="1"/>
  <c r="AF37" i="9"/>
  <c r="W37" i="9" s="1"/>
  <c r="AL36" i="9"/>
  <c r="AF28" i="9"/>
  <c r="W28" i="9" s="1"/>
  <c r="AG26" i="9"/>
  <c r="X26" i="9" s="1"/>
  <c r="AD25" i="9"/>
  <c r="AH25" i="9" s="1"/>
  <c r="AL24" i="9"/>
  <c r="AF22" i="9"/>
  <c r="W22" i="9" s="1"/>
  <c r="AF11" i="9"/>
  <c r="W11" i="9" s="1"/>
  <c r="AL10" i="9"/>
  <c r="L21" i="9"/>
  <c r="AF18" i="9"/>
  <c r="W18" i="9" s="1"/>
  <c r="AF13" i="9"/>
  <c r="W13" i="9" s="1"/>
  <c r="AG21" i="9"/>
  <c r="X21" i="9" s="1"/>
  <c r="AK14" i="9"/>
  <c r="L14" i="9"/>
  <c r="AL14" i="9" s="1"/>
  <c r="AF10" i="9"/>
  <c r="W10" i="9" s="1"/>
  <c r="AF9" i="9"/>
  <c r="W9" i="9" s="1"/>
  <c r="L7" i="9"/>
  <c r="AD36" i="9"/>
  <c r="AH36" i="9" s="1"/>
  <c r="AK35" i="9"/>
  <c r="L35" i="9"/>
  <c r="AL35" i="9" s="1"/>
  <c r="AF33" i="9"/>
  <c r="W33" i="9" s="1"/>
  <c r="AF29" i="9"/>
  <c r="W29" i="9" s="1"/>
  <c r="AF26" i="9"/>
  <c r="W26" i="9" s="1"/>
  <c r="AD24" i="9"/>
  <c r="AH24" i="9" s="1"/>
  <c r="AG20" i="9"/>
  <c r="X20" i="9" s="1"/>
  <c r="AF15" i="9"/>
  <c r="W15" i="9" s="1"/>
  <c r="AG14" i="9"/>
  <c r="X14" i="9" s="1"/>
  <c r="AG10" i="9"/>
  <c r="X10" i="9" s="1"/>
  <c r="AG8" i="9"/>
  <c r="X8" i="9" s="1"/>
  <c r="AF7" i="9"/>
  <c r="W7" i="9" s="1"/>
  <c r="AG7" i="13"/>
  <c r="X7" i="13" s="1"/>
  <c r="AC37" i="13"/>
  <c r="AC38" i="13" s="1"/>
  <c r="AC39" i="13" s="1"/>
  <c r="AI38" i="14"/>
  <c r="AI39" i="14" s="1"/>
  <c r="AI40" i="14" s="1"/>
  <c r="AG33" i="14"/>
  <c r="X33" i="14" s="1"/>
  <c r="AF33" i="14"/>
  <c r="W33" i="14" s="1"/>
  <c r="AL33" i="14"/>
  <c r="AK24" i="8"/>
  <c r="AL24" i="8"/>
  <c r="AK30" i="14"/>
  <c r="AL30" i="14"/>
  <c r="AF15" i="3"/>
  <c r="W15" i="3" s="1"/>
  <c r="AL14" i="3"/>
  <c r="AF10" i="3"/>
  <c r="W10" i="3" s="1"/>
  <c r="AL21" i="3"/>
  <c r="AD12" i="3"/>
  <c r="AH12" i="3" s="1"/>
  <c r="AK7" i="3"/>
  <c r="AD32" i="4"/>
  <c r="AH32" i="4" s="1"/>
  <c r="AF12" i="4"/>
  <c r="W12" i="4" s="1"/>
  <c r="AD12" i="4"/>
  <c r="AH12" i="4" s="1"/>
  <c r="AD19" i="3"/>
  <c r="AH19" i="3" s="1"/>
  <c r="AD24" i="3"/>
  <c r="AH24" i="3" s="1"/>
  <c r="AD22" i="3"/>
  <c r="AH22" i="3" s="1"/>
  <c r="AD31" i="3"/>
  <c r="AH31" i="3" s="1"/>
  <c r="AF30" i="3"/>
  <c r="W30" i="3" s="1"/>
  <c r="AF33" i="3"/>
  <c r="W33" i="3" s="1"/>
  <c r="AD30" i="3"/>
  <c r="AH30" i="3" s="1"/>
  <c r="AG29" i="3"/>
  <c r="X29" i="3" s="1"/>
  <c r="AG24" i="3"/>
  <c r="X24" i="3" s="1"/>
  <c r="AF18" i="4"/>
  <c r="W18" i="4" s="1"/>
  <c r="AF10" i="4"/>
  <c r="W10" i="4" s="1"/>
  <c r="AD19" i="4"/>
  <c r="AH19" i="4" s="1"/>
  <c r="AF17" i="4"/>
  <c r="W17" i="4" s="1"/>
  <c r="AF14" i="4"/>
  <c r="W14" i="4" s="1"/>
  <c r="AG14" i="4"/>
  <c r="X14" i="4" s="1"/>
  <c r="AD28" i="4"/>
  <c r="AH28" i="4" s="1"/>
  <c r="AG22" i="4"/>
  <c r="X22" i="4" s="1"/>
  <c r="AD34" i="4"/>
  <c r="AH34" i="4" s="1"/>
  <c r="AF31" i="4"/>
  <c r="W31" i="4" s="1"/>
  <c r="AD33" i="4"/>
  <c r="AH33" i="4" s="1"/>
  <c r="AL28" i="4"/>
  <c r="AG21" i="4"/>
  <c r="X21" i="4" s="1"/>
  <c r="AL14" i="4"/>
  <c r="AG11" i="4"/>
  <c r="X11" i="4" s="1"/>
  <c r="AG28" i="4"/>
  <c r="X28" i="4" s="1"/>
  <c r="AG23" i="4"/>
  <c r="X23" i="4" s="1"/>
  <c r="AL20" i="4"/>
  <c r="AF15" i="4"/>
  <c r="W15" i="4" s="1"/>
  <c r="AG10" i="4"/>
  <c r="X10" i="4" s="1"/>
  <c r="AF32" i="4"/>
  <c r="W32" i="4" s="1"/>
  <c r="AF28" i="4"/>
  <c r="W28" i="4" s="1"/>
  <c r="AG31" i="4"/>
  <c r="X31" i="4" s="1"/>
  <c r="AF20" i="4"/>
  <c r="W20" i="4" s="1"/>
  <c r="AG17" i="4"/>
  <c r="X17" i="4" s="1"/>
  <c r="AF11" i="4"/>
  <c r="W11" i="4" s="1"/>
  <c r="AL13" i="5"/>
  <c r="AL37" i="5"/>
  <c r="AL23" i="3"/>
  <c r="AL27" i="5"/>
  <c r="AL22" i="5"/>
  <c r="AL28" i="5"/>
  <c r="AL34" i="5"/>
  <c r="AL14" i="5"/>
  <c r="AL20" i="5"/>
  <c r="AD11" i="14"/>
  <c r="AH11" i="14" s="1"/>
  <c r="AG11" i="14"/>
  <c r="X11" i="14" s="1"/>
  <c r="AZ44" i="8"/>
  <c r="T40" i="8" s="1"/>
  <c r="AZ44" i="13"/>
  <c r="T40" i="13" s="1"/>
  <c r="AP47" i="13" s="1"/>
  <c r="AZ44" i="14"/>
  <c r="T41" i="14" s="1"/>
  <c r="AK43" i="14" s="1"/>
  <c r="AZ44" i="5"/>
  <c r="T41" i="5" s="1"/>
  <c r="AK42" i="5" s="1"/>
  <c r="AD23" i="10"/>
  <c r="AH23" i="10" s="1"/>
  <c r="AF23" i="10"/>
  <c r="W23" i="10" s="1"/>
  <c r="AL15" i="3"/>
  <c r="AL21" i="5"/>
  <c r="AL26" i="14"/>
  <c r="AL31" i="14"/>
  <c r="AK9" i="14"/>
  <c r="AL37" i="14"/>
  <c r="AK36" i="14"/>
  <c r="AL35" i="14"/>
  <c r="AL34" i="14"/>
  <c r="AK29" i="14"/>
  <c r="AL27" i="14"/>
  <c r="AL25" i="14"/>
  <c r="AK22" i="14"/>
  <c r="AL19" i="14"/>
  <c r="AK15" i="14"/>
  <c r="AL14" i="14"/>
  <c r="AL11" i="14"/>
  <c r="AV7" i="14"/>
  <c r="AL24" i="14"/>
  <c r="AD17" i="14"/>
  <c r="AH17" i="14" s="1"/>
  <c r="AN39" i="14"/>
  <c r="H42" i="14" s="1"/>
  <c r="AL8" i="14"/>
  <c r="AD8" i="14"/>
  <c r="AH8" i="14" s="1"/>
  <c r="AG15" i="14"/>
  <c r="X15" i="14" s="1"/>
  <c r="AT38" i="14"/>
  <c r="AM38" i="14" s="1"/>
  <c r="AF22" i="14"/>
  <c r="W22" i="14" s="1"/>
  <c r="AP38" i="14"/>
  <c r="AB38" i="14"/>
  <c r="AB39" i="14" s="1"/>
  <c r="AB40" i="14" s="1"/>
  <c r="AG36" i="14"/>
  <c r="X36" i="14" s="1"/>
  <c r="M49" i="14"/>
  <c r="AD36" i="14"/>
  <c r="AH36" i="14" s="1"/>
  <c r="AG31" i="14"/>
  <c r="X31" i="14" s="1"/>
  <c r="R49" i="14"/>
  <c r="AG32" i="14"/>
  <c r="X32" i="14" s="1"/>
  <c r="M47" i="14"/>
  <c r="AF45" i="14" s="1"/>
  <c r="AE38" i="14"/>
  <c r="AE39" i="14" s="1"/>
  <c r="AE40" i="14" s="1"/>
  <c r="AD32" i="14"/>
  <c r="AH32" i="14" s="1"/>
  <c r="AK31" i="14"/>
  <c r="R46" i="14"/>
  <c r="AF32" i="14"/>
  <c r="W32" i="14" s="1"/>
  <c r="R48" i="14"/>
  <c r="AL26" i="13"/>
  <c r="AL19" i="13"/>
  <c r="AL13" i="13"/>
  <c r="AK32" i="13"/>
  <c r="AK25" i="13"/>
  <c r="AK18" i="13"/>
  <c r="AK24" i="13"/>
  <c r="AL27" i="13"/>
  <c r="AL36" i="13"/>
  <c r="AL28" i="13"/>
  <c r="AL23" i="13"/>
  <c r="AL22" i="13"/>
  <c r="AL20" i="13"/>
  <c r="AL16" i="13"/>
  <c r="AL14" i="13"/>
  <c r="AK20" i="12"/>
  <c r="AK14" i="12"/>
  <c r="AK34" i="12"/>
  <c r="AL22" i="12"/>
  <c r="AK27" i="12"/>
  <c r="AL11" i="12"/>
  <c r="AL37" i="12"/>
  <c r="AL35" i="12"/>
  <c r="AL34" i="12"/>
  <c r="AL32" i="12"/>
  <c r="AL30" i="12"/>
  <c r="AL24" i="12"/>
  <c r="AL21" i="12"/>
  <c r="AL16" i="12"/>
  <c r="AK13" i="12"/>
  <c r="AL12" i="12"/>
  <c r="AL10" i="12"/>
  <c r="AG32" i="13"/>
  <c r="X32" i="13" s="1"/>
  <c r="AG26" i="13"/>
  <c r="X26" i="13" s="1"/>
  <c r="AG20" i="13"/>
  <c r="X20" i="13" s="1"/>
  <c r="AD17" i="13"/>
  <c r="AH17" i="13" s="1"/>
  <c r="R45" i="13"/>
  <c r="M45" i="13"/>
  <c r="AE42" i="13" s="1"/>
  <c r="AF19" i="13"/>
  <c r="W19" i="13" s="1"/>
  <c r="M48" i="13"/>
  <c r="AF7" i="13"/>
  <c r="W7" i="13" s="1"/>
  <c r="R46" i="13"/>
  <c r="AD25" i="13"/>
  <c r="AH25" i="13" s="1"/>
  <c r="AG16" i="13"/>
  <c r="X16" i="13" s="1"/>
  <c r="AV8" i="13"/>
  <c r="N8" i="13" s="1"/>
  <c r="AF8" i="13"/>
  <c r="W8" i="13" s="1"/>
  <c r="AV7" i="13"/>
  <c r="N7" i="13" s="1"/>
  <c r="AD31" i="13"/>
  <c r="AH31" i="13" s="1"/>
  <c r="AL17" i="13"/>
  <c r="AF15" i="13"/>
  <c r="W15" i="13" s="1"/>
  <c r="AD9" i="13"/>
  <c r="AH9" i="13" s="1"/>
  <c r="AG30" i="13"/>
  <c r="X30" i="13" s="1"/>
  <c r="AF20" i="13"/>
  <c r="W20" i="13" s="1"/>
  <c r="AL33" i="13"/>
  <c r="AF32" i="13"/>
  <c r="W32" i="13" s="1"/>
  <c r="AG22" i="13"/>
  <c r="X22" i="13" s="1"/>
  <c r="AD12" i="13"/>
  <c r="AH12" i="13" s="1"/>
  <c r="AL8" i="13"/>
  <c r="AN38" i="13"/>
  <c r="H41" i="13" s="1"/>
  <c r="AD24" i="13"/>
  <c r="AH24" i="13" s="1"/>
  <c r="AF22" i="13"/>
  <c r="W22" i="13" s="1"/>
  <c r="AF16" i="13"/>
  <c r="W16" i="13" s="1"/>
  <c r="AL15" i="13"/>
  <c r="AF13" i="13"/>
  <c r="W13" i="13" s="1"/>
  <c r="AL9" i="13"/>
  <c r="AG8" i="13"/>
  <c r="X8" i="13" s="1"/>
  <c r="AD34" i="12"/>
  <c r="AH34" i="12" s="1"/>
  <c r="AF27" i="12"/>
  <c r="W27" i="12" s="1"/>
  <c r="AL20" i="12"/>
  <c r="AB38" i="12"/>
  <c r="AB39" i="12" s="1"/>
  <c r="AB40" i="12" s="1"/>
  <c r="AF13" i="12"/>
  <c r="W13" i="12" s="1"/>
  <c r="AD37" i="12"/>
  <c r="AH37" i="12" s="1"/>
  <c r="AF37" i="12"/>
  <c r="W37" i="12" s="1"/>
  <c r="AR38" i="12"/>
  <c r="AG37" i="12"/>
  <c r="X37" i="12" s="1"/>
  <c r="R36" i="12"/>
  <c r="M47" i="12" s="1"/>
  <c r="AK36" i="12"/>
  <c r="AP38" i="12"/>
  <c r="AI38" i="12"/>
  <c r="AI39" i="12" s="1"/>
  <c r="AI40" i="12" s="1"/>
  <c r="AF29" i="12"/>
  <c r="W29" i="12" s="1"/>
  <c r="AN39" i="12"/>
  <c r="H42" i="12" s="1"/>
  <c r="AD22" i="12"/>
  <c r="AH22" i="12" s="1"/>
  <c r="AF22" i="12"/>
  <c r="W22" i="12" s="1"/>
  <c r="AF15" i="12"/>
  <c r="W15" i="12" s="1"/>
  <c r="AC38" i="12"/>
  <c r="AC39" i="12" s="1"/>
  <c r="AC40" i="12" s="1"/>
  <c r="AE38" i="12"/>
  <c r="AE39" i="12" s="1"/>
  <c r="AE40" i="12" s="1"/>
  <c r="AG15" i="12"/>
  <c r="X15" i="12" s="1"/>
  <c r="AK22" i="11"/>
  <c r="AL21" i="11"/>
  <c r="AK29" i="11"/>
  <c r="AL19" i="11"/>
  <c r="AK36" i="11"/>
  <c r="AK30" i="11"/>
  <c r="AK23" i="11"/>
  <c r="AL17" i="11"/>
  <c r="AL12" i="11"/>
  <c r="AL20" i="11"/>
  <c r="AF10" i="11"/>
  <c r="W10" i="11" s="1"/>
  <c r="AG11" i="11"/>
  <c r="X11" i="11" s="1"/>
  <c r="AD9" i="11"/>
  <c r="AH9" i="11" s="1"/>
  <c r="AG10" i="11"/>
  <c r="X10" i="11" s="1"/>
  <c r="AL10" i="11"/>
  <c r="AD10" i="11"/>
  <c r="AH10" i="11" s="1"/>
  <c r="AK9" i="11"/>
  <c r="AG9" i="11"/>
  <c r="X9" i="11" s="1"/>
  <c r="AF9" i="11"/>
  <c r="W9" i="11" s="1"/>
  <c r="AK8" i="11"/>
  <c r="AL34" i="11"/>
  <c r="AL33" i="11"/>
  <c r="AL29" i="11"/>
  <c r="AL26" i="11"/>
  <c r="AN38" i="11"/>
  <c r="H41" i="11" s="1"/>
  <c r="AL18" i="11"/>
  <c r="AK15" i="11"/>
  <c r="AV7" i="11"/>
  <c r="N7" i="11" s="1"/>
  <c r="AW7" i="11"/>
  <c r="AF24" i="11"/>
  <c r="W24" i="11" s="1"/>
  <c r="AF8" i="11"/>
  <c r="W8" i="11" s="1"/>
  <c r="AE37" i="11"/>
  <c r="AE38" i="11" s="1"/>
  <c r="AE39" i="11" s="1"/>
  <c r="AS37" i="11"/>
  <c r="AT37" i="11"/>
  <c r="AI37" i="11"/>
  <c r="AI38" i="11" s="1"/>
  <c r="AI39" i="11" s="1"/>
  <c r="AP37" i="11"/>
  <c r="T29" i="11"/>
  <c r="M48" i="11" s="1"/>
  <c r="AC37" i="11"/>
  <c r="AC38" i="11" s="1"/>
  <c r="AC39" i="11" s="1"/>
  <c r="AL30" i="10"/>
  <c r="AL35" i="10"/>
  <c r="AK32" i="10"/>
  <c r="AL27" i="10"/>
  <c r="AL21" i="10"/>
  <c r="AL7" i="10"/>
  <c r="AK26" i="10"/>
  <c r="AL17" i="10"/>
  <c r="AK12" i="10"/>
  <c r="AK33" i="10"/>
  <c r="AL28" i="10"/>
  <c r="AL14" i="10"/>
  <c r="AL37" i="10"/>
  <c r="AL36" i="10"/>
  <c r="AL33" i="10"/>
  <c r="AL31" i="10"/>
  <c r="AK25" i="10"/>
  <c r="AL12" i="10"/>
  <c r="AL10" i="10"/>
  <c r="AL8" i="10"/>
  <c r="AF13" i="10"/>
  <c r="W13" i="10" s="1"/>
  <c r="AK13" i="10"/>
  <c r="AC38" i="10"/>
  <c r="AC39" i="10" s="1"/>
  <c r="AC40" i="10" s="1"/>
  <c r="AF25" i="10"/>
  <c r="W25" i="10" s="1"/>
  <c r="AM38" i="10"/>
  <c r="AM39" i="10" s="1"/>
  <c r="U51" i="10" s="1"/>
  <c r="AD18" i="10"/>
  <c r="AH18" i="10" s="1"/>
  <c r="AU38" i="10"/>
  <c r="M55" i="10" s="1"/>
  <c r="AK8" i="9"/>
  <c r="AL37" i="9"/>
  <c r="AK15" i="9"/>
  <c r="AL11" i="9"/>
  <c r="AK21" i="9"/>
  <c r="AK28" i="9"/>
  <c r="AL25" i="9"/>
  <c r="AL21" i="9"/>
  <c r="AK37" i="9"/>
  <c r="AP38" i="9"/>
  <c r="AD37" i="9"/>
  <c r="AH37" i="9" s="1"/>
  <c r="T30" i="9"/>
  <c r="M49" i="9" s="1"/>
  <c r="AF23" i="9"/>
  <c r="W23" i="9" s="1"/>
  <c r="AK23" i="9"/>
  <c r="AG16" i="9"/>
  <c r="X16" i="9" s="1"/>
  <c r="AF16" i="9"/>
  <c r="W16" i="9" s="1"/>
  <c r="AE38" i="9"/>
  <c r="AE39" i="9" s="1"/>
  <c r="AE40" i="9" s="1"/>
  <c r="AF35" i="9"/>
  <c r="W35" i="9" s="1"/>
  <c r="AT38" i="9"/>
  <c r="AU38" i="9" s="1"/>
  <c r="M55" i="9" s="1"/>
  <c r="AR38" i="9"/>
  <c r="AQ38" i="9"/>
  <c r="AC38" i="9"/>
  <c r="AC39" i="9" s="1"/>
  <c r="AC40" i="9" s="1"/>
  <c r="AB38" i="9"/>
  <c r="AB39" i="9" s="1"/>
  <c r="AB40" i="9" s="1"/>
  <c r="AD28" i="9"/>
  <c r="AH28" i="9" s="1"/>
  <c r="AD21" i="9"/>
  <c r="AH21" i="9" s="1"/>
  <c r="AN39" i="9"/>
  <c r="H42" i="9" s="1"/>
  <c r="AF21" i="9"/>
  <c r="W21" i="9" s="1"/>
  <c r="R27" i="9"/>
  <c r="M47" i="9" s="1"/>
  <c r="AD44" i="9" s="1"/>
  <c r="AI38" i="9"/>
  <c r="AI39" i="9" s="1"/>
  <c r="AI40" i="9" s="1"/>
  <c r="AK9" i="8"/>
  <c r="AL21" i="8"/>
  <c r="AL33" i="8"/>
  <c r="AK30" i="8"/>
  <c r="AK23" i="8"/>
  <c r="AL36" i="8"/>
  <c r="AL34" i="8"/>
  <c r="AL29" i="8"/>
  <c r="AL35" i="8"/>
  <c r="AL28" i="8"/>
  <c r="AL27" i="8"/>
  <c r="AL26" i="8"/>
  <c r="AN38" i="8"/>
  <c r="H41" i="8" s="1"/>
  <c r="AL22" i="8"/>
  <c r="AL19" i="8"/>
  <c r="AL17" i="8"/>
  <c r="AK20" i="7"/>
  <c r="AK16" i="8"/>
  <c r="AL15" i="8"/>
  <c r="AL14" i="8"/>
  <c r="AL13" i="8"/>
  <c r="AL9" i="8"/>
  <c r="AL8" i="8"/>
  <c r="AV7" i="8"/>
  <c r="AE37" i="8"/>
  <c r="AE38" i="8" s="1"/>
  <c r="AE39" i="8" s="1"/>
  <c r="AB37" i="8"/>
  <c r="AB38" i="8" s="1"/>
  <c r="AB39" i="8" s="1"/>
  <c r="AI37" i="8"/>
  <c r="AI38" i="8" s="1"/>
  <c r="AI39" i="8" s="1"/>
  <c r="AT37" i="8"/>
  <c r="AU37" i="8" s="1"/>
  <c r="M54" i="8" s="1"/>
  <c r="AD32" i="8"/>
  <c r="AH32" i="8" s="1"/>
  <c r="AR37" i="8"/>
  <c r="AK32" i="8"/>
  <c r="AP37" i="8"/>
  <c r="AL11" i="8"/>
  <c r="AD11" i="8"/>
  <c r="AH11" i="8" s="1"/>
  <c r="AL37" i="7"/>
  <c r="AK33" i="7"/>
  <c r="AL32" i="7"/>
  <c r="AL30" i="7"/>
  <c r="AL27" i="7"/>
  <c r="AL25" i="7"/>
  <c r="AL23" i="7"/>
  <c r="AK19" i="7"/>
  <c r="AL18" i="7"/>
  <c r="AL17" i="7"/>
  <c r="AL16" i="7"/>
  <c r="AL15" i="7"/>
  <c r="AK12" i="7"/>
  <c r="AL11" i="7"/>
  <c r="AL10" i="7"/>
  <c r="AL9" i="7"/>
  <c r="AL8" i="7"/>
  <c r="AK7" i="7"/>
  <c r="AD35" i="7"/>
  <c r="AH35" i="7" s="1"/>
  <c r="AF35" i="7"/>
  <c r="W35" i="7" s="1"/>
  <c r="AT38" i="7"/>
  <c r="AU38" i="7" s="1"/>
  <c r="M55" i="7" s="1"/>
  <c r="AI38" i="7"/>
  <c r="AI39" i="7" s="1"/>
  <c r="AI40" i="7" s="1"/>
  <c r="AG26" i="7"/>
  <c r="X26" i="7" s="1"/>
  <c r="AF26" i="7"/>
  <c r="W26" i="7" s="1"/>
  <c r="M47" i="7"/>
  <c r="AE44" i="7" s="1"/>
  <c r="AD28" i="7"/>
  <c r="AH28" i="7" s="1"/>
  <c r="AN39" i="7"/>
  <c r="H42" i="7" s="1"/>
  <c r="AE38" i="7"/>
  <c r="AE39" i="7" s="1"/>
  <c r="AE40" i="7" s="1"/>
  <c r="AF22" i="7"/>
  <c r="W22" i="7" s="1"/>
  <c r="R47" i="7"/>
  <c r="AL22" i="7"/>
  <c r="AD21" i="7"/>
  <c r="AH21" i="7" s="1"/>
  <c r="AD7" i="7"/>
  <c r="AH7" i="7" s="1"/>
  <c r="R46" i="7"/>
  <c r="AG7" i="7"/>
  <c r="X7" i="7" s="1"/>
  <c r="AC38" i="7"/>
  <c r="AC39" i="7" s="1"/>
  <c r="AC40" i="7" s="1"/>
  <c r="M46" i="7"/>
  <c r="AE43" i="7" s="1"/>
  <c r="R49" i="7"/>
  <c r="AG8" i="6"/>
  <c r="X8" i="6" s="1"/>
  <c r="AG12" i="6"/>
  <c r="X12" i="6" s="1"/>
  <c r="AG25" i="6"/>
  <c r="X25" i="6" s="1"/>
  <c r="AG18" i="6"/>
  <c r="X18" i="6" s="1"/>
  <c r="AD13" i="6"/>
  <c r="AH13" i="6" s="1"/>
  <c r="AF10" i="6"/>
  <c r="W10" i="6" s="1"/>
  <c r="AF30" i="6"/>
  <c r="W30" i="6" s="1"/>
  <c r="AD16" i="6"/>
  <c r="AH16" i="6" s="1"/>
  <c r="AF15" i="6"/>
  <c r="W15" i="6" s="1"/>
  <c r="AD12" i="6"/>
  <c r="AH12" i="6" s="1"/>
  <c r="AG11" i="6"/>
  <c r="X11" i="6" s="1"/>
  <c r="AD9" i="6"/>
  <c r="AH9" i="6" s="1"/>
  <c r="AF25" i="6"/>
  <c r="W25" i="6" s="1"/>
  <c r="AG17" i="6"/>
  <c r="X17" i="6" s="1"/>
  <c r="AG14" i="6"/>
  <c r="X14" i="6" s="1"/>
  <c r="AD11" i="6"/>
  <c r="AH11" i="6" s="1"/>
  <c r="AD8" i="6"/>
  <c r="AH8" i="6" s="1"/>
  <c r="AZ44" i="6"/>
  <c r="T40" i="6" s="1"/>
  <c r="AP47" i="6" s="1"/>
  <c r="AG13" i="6"/>
  <c r="X13" i="6" s="1"/>
  <c r="AG10" i="6"/>
  <c r="X10" i="6" s="1"/>
  <c r="AG34" i="6"/>
  <c r="X34" i="6" s="1"/>
  <c r="AD36" i="6"/>
  <c r="AH36" i="6" s="1"/>
  <c r="AG27" i="6"/>
  <c r="X27" i="6" s="1"/>
  <c r="AG24" i="6"/>
  <c r="X24" i="6" s="1"/>
  <c r="AD24" i="6"/>
  <c r="AH24" i="6" s="1"/>
  <c r="AG23" i="6"/>
  <c r="X23" i="6" s="1"/>
  <c r="AF20" i="6"/>
  <c r="W20" i="6" s="1"/>
  <c r="AF12" i="6"/>
  <c r="W12" i="6" s="1"/>
  <c r="AD33" i="6"/>
  <c r="AH33" i="6" s="1"/>
  <c r="AF34" i="6"/>
  <c r="W34" i="6" s="1"/>
  <c r="AD32" i="6"/>
  <c r="AH32" i="6" s="1"/>
  <c r="AG31" i="6"/>
  <c r="X31" i="6" s="1"/>
  <c r="AK29" i="6"/>
  <c r="AF23" i="6"/>
  <c r="W23" i="6" s="1"/>
  <c r="AG22" i="6"/>
  <c r="X22" i="6" s="1"/>
  <c r="AD21" i="6"/>
  <c r="AH21" i="6" s="1"/>
  <c r="AG20" i="6"/>
  <c r="X20" i="6" s="1"/>
  <c r="AG15" i="6"/>
  <c r="X15" i="6" s="1"/>
  <c r="AF13" i="6"/>
  <c r="W13" i="6" s="1"/>
  <c r="AK36" i="6"/>
  <c r="AD31" i="6"/>
  <c r="AH31" i="6" s="1"/>
  <c r="AG29" i="6"/>
  <c r="X29" i="6" s="1"/>
  <c r="AD23" i="6"/>
  <c r="AH23" i="6" s="1"/>
  <c r="AF22" i="6"/>
  <c r="W22" i="6" s="1"/>
  <c r="AL19" i="6"/>
  <c r="AD18" i="6"/>
  <c r="AH18" i="6" s="1"/>
  <c r="AF16" i="6"/>
  <c r="W16" i="6" s="1"/>
  <c r="AL30" i="6"/>
  <c r="AK28" i="6"/>
  <c r="AD25" i="6"/>
  <c r="AH25" i="6" s="1"/>
  <c r="AD26" i="6"/>
  <c r="AH26" i="6" s="1"/>
  <c r="AL32" i="6"/>
  <c r="AG30" i="6"/>
  <c r="X30" i="6" s="1"/>
  <c r="AG28" i="6"/>
  <c r="X28" i="6" s="1"/>
  <c r="AG19" i="6"/>
  <c r="X19" i="6" s="1"/>
  <c r="AG9" i="6"/>
  <c r="X9" i="6" s="1"/>
  <c r="AF9" i="6"/>
  <c r="W9" i="6" s="1"/>
  <c r="AB37" i="6"/>
  <c r="AB38" i="6" s="1"/>
  <c r="AB39" i="6" s="1"/>
  <c r="AF8" i="6"/>
  <c r="W8" i="6" s="1"/>
  <c r="AD7" i="6"/>
  <c r="AH7" i="6" s="1"/>
  <c r="AF7" i="6"/>
  <c r="W7" i="6" s="1"/>
  <c r="AK22" i="6"/>
  <c r="AK21" i="6"/>
  <c r="AK14" i="6"/>
  <c r="AK7" i="6"/>
  <c r="AL31" i="6"/>
  <c r="AL25" i="6"/>
  <c r="AL18" i="6"/>
  <c r="AL16" i="6"/>
  <c r="AK35" i="6"/>
  <c r="AL34" i="6"/>
  <c r="AL28" i="6"/>
  <c r="AL26" i="6"/>
  <c r="AL24" i="6"/>
  <c r="AL20" i="6"/>
  <c r="AL17" i="6"/>
  <c r="AL13" i="6"/>
  <c r="AL12" i="6"/>
  <c r="AL10" i="6"/>
  <c r="AN38" i="6"/>
  <c r="H41" i="6" s="1"/>
  <c r="AP37" i="6"/>
  <c r="AG35" i="6"/>
  <c r="X35" i="6" s="1"/>
  <c r="AD35" i="6"/>
  <c r="AH35" i="6" s="1"/>
  <c r="AD28" i="6"/>
  <c r="AH28" i="6" s="1"/>
  <c r="AC37" i="6"/>
  <c r="AC38" i="6" s="1"/>
  <c r="AC39" i="6" s="1"/>
  <c r="AQ37" i="6"/>
  <c r="AT37" i="6"/>
  <c r="AU37" i="6" s="1"/>
  <c r="M54" i="6" s="1"/>
  <c r="AF21" i="6"/>
  <c r="W21" i="6" s="1"/>
  <c r="AR37" i="6"/>
  <c r="AI37" i="6"/>
  <c r="AI38" i="6" s="1"/>
  <c r="AI39" i="6" s="1"/>
  <c r="R14" i="6"/>
  <c r="M46" i="6" s="1"/>
  <c r="AD14" i="6"/>
  <c r="AH14" i="6" s="1"/>
  <c r="AF14" i="6"/>
  <c r="W14" i="6" s="1"/>
  <c r="AF8" i="5"/>
  <c r="W8" i="5" s="1"/>
  <c r="AR38" i="5"/>
  <c r="AL11" i="5"/>
  <c r="AG10" i="5"/>
  <c r="X10" i="5" s="1"/>
  <c r="AD10" i="5"/>
  <c r="AH10" i="5" s="1"/>
  <c r="AD7" i="5"/>
  <c r="AH7" i="5" s="1"/>
  <c r="AD34" i="5"/>
  <c r="AH34" i="5" s="1"/>
  <c r="AG32" i="5"/>
  <c r="X32" i="5" s="1"/>
  <c r="AC38" i="5"/>
  <c r="AC39" i="5" s="1"/>
  <c r="AC40" i="5" s="1"/>
  <c r="AD25" i="5"/>
  <c r="AH25" i="5" s="1"/>
  <c r="AD18" i="5"/>
  <c r="AH18" i="5" s="1"/>
  <c r="AD11" i="5"/>
  <c r="AH11" i="5" s="1"/>
  <c r="AG9" i="5"/>
  <c r="X9" i="5" s="1"/>
  <c r="AN39" i="5"/>
  <c r="H42" i="5" s="1"/>
  <c r="AF31" i="5"/>
  <c r="W31" i="5" s="1"/>
  <c r="AQ38" i="5"/>
  <c r="AF11" i="5"/>
  <c r="W11" i="5" s="1"/>
  <c r="AL35" i="5"/>
  <c r="AD35" i="5"/>
  <c r="AH35" i="5" s="1"/>
  <c r="AF29" i="5"/>
  <c r="W29" i="5" s="1"/>
  <c r="AD26" i="5"/>
  <c r="AH26" i="5" s="1"/>
  <c r="AG20" i="5"/>
  <c r="X20" i="5" s="1"/>
  <c r="AL15" i="5"/>
  <c r="AD14" i="5"/>
  <c r="AH14" i="5" s="1"/>
  <c r="AK11" i="5"/>
  <c r="AF35" i="5"/>
  <c r="W35" i="5" s="1"/>
  <c r="AF17" i="5"/>
  <c r="W17" i="5" s="1"/>
  <c r="R19" i="5"/>
  <c r="R47" i="5" s="1"/>
  <c r="AD36" i="5"/>
  <c r="AH36" i="5" s="1"/>
  <c r="AF33" i="5"/>
  <c r="W33" i="5" s="1"/>
  <c r="AF30" i="5"/>
  <c r="W30" i="5" s="1"/>
  <c r="AL29" i="5"/>
  <c r="AG24" i="5"/>
  <c r="X24" i="5" s="1"/>
  <c r="AL23" i="5"/>
  <c r="AD23" i="5"/>
  <c r="AH23" i="5" s="1"/>
  <c r="AF19" i="5"/>
  <c r="W19" i="5" s="1"/>
  <c r="AL17" i="5"/>
  <c r="AD17" i="5"/>
  <c r="AH17" i="5" s="1"/>
  <c r="AL8" i="5"/>
  <c r="AP38" i="5"/>
  <c r="AG8" i="5"/>
  <c r="X8" i="5" s="1"/>
  <c r="AB38" i="5"/>
  <c r="AB39" i="5" s="1"/>
  <c r="AB40" i="5" s="1"/>
  <c r="AD37" i="5"/>
  <c r="AH37" i="5" s="1"/>
  <c r="AF34" i="5"/>
  <c r="W34" i="5" s="1"/>
  <c r="AD30" i="5"/>
  <c r="AH30" i="5" s="1"/>
  <c r="AG28" i="5"/>
  <c r="X28" i="5" s="1"/>
  <c r="AD27" i="5"/>
  <c r="AH27" i="5" s="1"/>
  <c r="AG22" i="5"/>
  <c r="X22" i="5" s="1"/>
  <c r="AF21" i="5"/>
  <c r="W21" i="5" s="1"/>
  <c r="AF18" i="5"/>
  <c r="W18" i="5" s="1"/>
  <c r="AG16" i="5"/>
  <c r="X16" i="5" s="1"/>
  <c r="AD15" i="5"/>
  <c r="AH15" i="5" s="1"/>
  <c r="AF13" i="5"/>
  <c r="W13" i="5" s="1"/>
  <c r="AL10" i="5"/>
  <c r="AL34" i="4"/>
  <c r="AL27" i="4"/>
  <c r="AL13" i="4"/>
  <c r="AL7" i="4"/>
  <c r="AL19" i="4"/>
  <c r="AL12" i="4"/>
  <c r="AK25" i="4"/>
  <c r="AL8" i="4"/>
  <c r="AL29" i="4"/>
  <c r="AK31" i="4"/>
  <c r="AL30" i="4"/>
  <c r="AL26" i="4"/>
  <c r="AL23" i="4"/>
  <c r="AL16" i="4"/>
  <c r="AL15" i="4"/>
  <c r="AL9" i="4"/>
  <c r="AN37" i="4"/>
  <c r="H40" i="4" s="1"/>
  <c r="AF27" i="4"/>
  <c r="W27" i="4" s="1"/>
  <c r="AG25" i="4"/>
  <c r="X25" i="4" s="1"/>
  <c r="AG9" i="4"/>
  <c r="AG8" i="4"/>
  <c r="X8" i="4" s="1"/>
  <c r="AG34" i="4"/>
  <c r="X34" i="4" s="1"/>
  <c r="AF33" i="4"/>
  <c r="W33" i="4" s="1"/>
  <c r="AK27" i="4"/>
  <c r="AD25" i="4"/>
  <c r="AH25" i="4" s="1"/>
  <c r="AF19" i="4"/>
  <c r="AD17" i="4"/>
  <c r="AH17" i="4" s="1"/>
  <c r="AD16" i="4"/>
  <c r="AH16" i="4" s="1"/>
  <c r="AD9" i="4"/>
  <c r="AD31" i="4"/>
  <c r="AH31" i="4" s="1"/>
  <c r="AG29" i="4"/>
  <c r="X29" i="4" s="1"/>
  <c r="T21" i="4"/>
  <c r="R47" i="4" s="1"/>
  <c r="AD11" i="4"/>
  <c r="AH11" i="4" s="1"/>
  <c r="AF7" i="4"/>
  <c r="W7" i="4" s="1"/>
  <c r="AG30" i="4"/>
  <c r="X30" i="4" s="1"/>
  <c r="AD29" i="4"/>
  <c r="AH29" i="4" s="1"/>
  <c r="AF22" i="4"/>
  <c r="W22" i="4" s="1"/>
  <c r="AG15" i="4"/>
  <c r="X15" i="4" s="1"/>
  <c r="AG13" i="4"/>
  <c r="X13" i="4" s="1"/>
  <c r="AG33" i="4"/>
  <c r="X33" i="4" s="1"/>
  <c r="AD21" i="4"/>
  <c r="AH21" i="4" s="1"/>
  <c r="AG19" i="4"/>
  <c r="X19" i="4" s="1"/>
  <c r="AD15" i="4"/>
  <c r="AH15" i="4" s="1"/>
  <c r="AD13" i="4"/>
  <c r="AH13" i="4" s="1"/>
  <c r="AG7" i="4"/>
  <c r="X7" i="4" s="1"/>
  <c r="AE37" i="4"/>
  <c r="AE38" i="4" s="1"/>
  <c r="AL37" i="3"/>
  <c r="AL36" i="3"/>
  <c r="AK35" i="3"/>
  <c r="AK34" i="3"/>
  <c r="AL30" i="3"/>
  <c r="AL29" i="3"/>
  <c r="AK28" i="3"/>
  <c r="AK27" i="3"/>
  <c r="AL26" i="3"/>
  <c r="AL24" i="3"/>
  <c r="AL22" i="3"/>
  <c r="AK21" i="3"/>
  <c r="AK20" i="3"/>
  <c r="AL19" i="3"/>
  <c r="AL16" i="3"/>
  <c r="AK14" i="3"/>
  <c r="AK13" i="3"/>
  <c r="AL12" i="3"/>
  <c r="AL11" i="3"/>
  <c r="AL10" i="3"/>
  <c r="AL9" i="3"/>
  <c r="AL17" i="3"/>
  <c r="AF26" i="3"/>
  <c r="W26" i="3" s="1"/>
  <c r="AF8" i="3"/>
  <c r="W8" i="3" s="1"/>
  <c r="AL33" i="3"/>
  <c r="AF29" i="3"/>
  <c r="W29" i="3" s="1"/>
  <c r="AG35" i="3"/>
  <c r="X35" i="3" s="1"/>
  <c r="AL32" i="3"/>
  <c r="AD32" i="3"/>
  <c r="AH32" i="3" s="1"/>
  <c r="AG37" i="3"/>
  <c r="X37" i="3" s="1"/>
  <c r="AL25" i="3"/>
  <c r="AD18" i="3"/>
  <c r="AH18" i="3" s="1"/>
  <c r="AD14" i="3"/>
  <c r="AH14" i="3" s="1"/>
  <c r="AG13" i="3"/>
  <c r="X13" i="3" s="1"/>
  <c r="AF37" i="3"/>
  <c r="W37" i="3" s="1"/>
  <c r="AG20" i="3"/>
  <c r="X20" i="3" s="1"/>
  <c r="AL18" i="3"/>
  <c r="AG8" i="3"/>
  <c r="X8" i="3" s="1"/>
  <c r="AD7" i="3"/>
  <c r="AH7" i="3" s="1"/>
  <c r="AG9" i="3"/>
  <c r="X9" i="3" s="1"/>
  <c r="AD37" i="3"/>
  <c r="AH37" i="3" s="1"/>
  <c r="AG31" i="3"/>
  <c r="X31" i="3" s="1"/>
  <c r="AD29" i="3"/>
  <c r="AH29" i="3" s="1"/>
  <c r="AG28" i="3"/>
  <c r="X28" i="3" s="1"/>
  <c r="AG18" i="3"/>
  <c r="X18" i="3" s="1"/>
  <c r="AG10" i="3"/>
  <c r="X10" i="3" s="1"/>
  <c r="AD8" i="3"/>
  <c r="AH8" i="3" s="1"/>
  <c r="AK37" i="3"/>
  <c r="AF34" i="3"/>
  <c r="W34" i="3" s="1"/>
  <c r="AD34" i="3"/>
  <c r="AH34" i="3" s="1"/>
  <c r="AG27" i="3"/>
  <c r="X27" i="3" s="1"/>
  <c r="AG25" i="3"/>
  <c r="X25" i="3" s="1"/>
  <c r="AD21" i="3"/>
  <c r="AH21" i="3" s="1"/>
  <c r="AG17" i="3"/>
  <c r="X17" i="3" s="1"/>
  <c r="AG33" i="3"/>
  <c r="X33" i="3" s="1"/>
  <c r="AF25" i="3"/>
  <c r="W25" i="3" s="1"/>
  <c r="AG26" i="3"/>
  <c r="X26" i="3" s="1"/>
  <c r="AD25" i="3"/>
  <c r="AH25" i="3" s="1"/>
  <c r="AZ44" i="3"/>
  <c r="T41" i="3" s="1"/>
  <c r="AK42" i="3" s="1"/>
  <c r="AF14" i="3"/>
  <c r="W14" i="3" s="1"/>
  <c r="AD16" i="3"/>
  <c r="AH16" i="3" s="1"/>
  <c r="AF16" i="3"/>
  <c r="W16" i="3" s="1"/>
  <c r="AG12" i="3"/>
  <c r="X12" i="3" s="1"/>
  <c r="AF12" i="3"/>
  <c r="W12" i="3" s="1"/>
  <c r="AG11" i="3"/>
  <c r="X11" i="3" s="1"/>
  <c r="AD11" i="3"/>
  <c r="AH11" i="3" s="1"/>
  <c r="AD10" i="3"/>
  <c r="AH10" i="3" s="1"/>
  <c r="AG7" i="3"/>
  <c r="X7" i="3" s="1"/>
  <c r="AD35" i="3"/>
  <c r="AH35" i="3" s="1"/>
  <c r="AG34" i="3"/>
  <c r="X34" i="3" s="1"/>
  <c r="AD28" i="3"/>
  <c r="AH28" i="3" s="1"/>
  <c r="AD27" i="3"/>
  <c r="AH27" i="3" s="1"/>
  <c r="AG21" i="3"/>
  <c r="X21" i="3" s="1"/>
  <c r="AD13" i="3"/>
  <c r="AH13" i="3" s="1"/>
  <c r="AN39" i="3"/>
  <c r="H42" i="3" s="1"/>
  <c r="AD36" i="3"/>
  <c r="AH36" i="3" s="1"/>
  <c r="AK36" i="3"/>
  <c r="AG30" i="3"/>
  <c r="X30" i="3" s="1"/>
  <c r="AK29" i="3"/>
  <c r="AD23" i="3"/>
  <c r="AH23" i="3" s="1"/>
  <c r="AP38" i="3"/>
  <c r="AT38" i="3"/>
  <c r="AU38" i="3" s="1"/>
  <c r="M55" i="3" s="1"/>
  <c r="T16" i="3"/>
  <c r="M49" i="3" s="1"/>
  <c r="AB38" i="3"/>
  <c r="AB39" i="3" s="1"/>
  <c r="AB40" i="3" s="1"/>
  <c r="AG16" i="3"/>
  <c r="X16" i="3" s="1"/>
  <c r="AG15" i="3"/>
  <c r="X15" i="3" s="1"/>
  <c r="AR38" i="3"/>
  <c r="AD15" i="3"/>
  <c r="AH15" i="3" s="1"/>
  <c r="AK15" i="3"/>
  <c r="AD9" i="3"/>
  <c r="AH9" i="3" s="1"/>
  <c r="R49" i="3"/>
  <c r="R9" i="3"/>
  <c r="R47" i="3" s="1"/>
  <c r="M45" i="11"/>
  <c r="R45" i="11"/>
  <c r="AP47" i="11"/>
  <c r="AK41" i="11"/>
  <c r="M46" i="11"/>
  <c r="R46" i="11"/>
  <c r="R48" i="11"/>
  <c r="AU37" i="11"/>
  <c r="M54" i="11" s="1"/>
  <c r="AM37" i="11"/>
  <c r="AR37" i="11"/>
  <c r="AG36" i="11"/>
  <c r="X36" i="11" s="1"/>
  <c r="M49" i="12"/>
  <c r="R49" i="12"/>
  <c r="AQ37" i="11"/>
  <c r="AF36" i="11"/>
  <c r="W36" i="11" s="1"/>
  <c r="S35" i="11"/>
  <c r="M47" i="11" s="1"/>
  <c r="AF32" i="11"/>
  <c r="W32" i="11" s="1"/>
  <c r="AL31" i="11"/>
  <c r="AG26" i="11"/>
  <c r="X26" i="11" s="1"/>
  <c r="AG15" i="11"/>
  <c r="X15" i="11" s="1"/>
  <c r="AG13" i="11"/>
  <c r="AH8" i="12"/>
  <c r="W7" i="12"/>
  <c r="R47" i="13"/>
  <c r="AF33" i="11"/>
  <c r="W33" i="11" s="1"/>
  <c r="AF29" i="11"/>
  <c r="W29" i="11" s="1"/>
  <c r="AK17" i="11"/>
  <c r="AB37" i="11"/>
  <c r="AB38" i="11" s="1"/>
  <c r="AB39" i="11" s="1"/>
  <c r="AG34" i="11"/>
  <c r="X34" i="11" s="1"/>
  <c r="AK24" i="11"/>
  <c r="AG21" i="11"/>
  <c r="X21" i="11" s="1"/>
  <c r="AF13" i="11"/>
  <c r="AM39" i="12"/>
  <c r="U51" i="12" s="1"/>
  <c r="M51" i="12"/>
  <c r="M48" i="12"/>
  <c r="R48" i="12"/>
  <c r="AF17" i="11"/>
  <c r="W17" i="11" s="1"/>
  <c r="X7" i="12"/>
  <c r="AF28" i="11"/>
  <c r="W28" i="11" s="1"/>
  <c r="AK42" i="12"/>
  <c r="AP48" i="12"/>
  <c r="M46" i="12"/>
  <c r="R46" i="12"/>
  <c r="AK35" i="12"/>
  <c r="AG27" i="12"/>
  <c r="X27" i="12" s="1"/>
  <c r="AK15" i="12"/>
  <c r="AW7" i="12"/>
  <c r="AK7" i="12"/>
  <c r="AD35" i="13"/>
  <c r="AH35" i="13" s="1"/>
  <c r="AD28" i="11"/>
  <c r="AH28" i="11" s="1"/>
  <c r="AD24" i="11"/>
  <c r="AH24" i="11" s="1"/>
  <c r="AD20" i="11"/>
  <c r="AH20" i="11" s="1"/>
  <c r="AD16" i="11"/>
  <c r="AH16" i="11" s="1"/>
  <c r="AD12" i="11"/>
  <c r="AH12" i="11" s="1"/>
  <c r="AD8" i="11"/>
  <c r="AU38" i="12"/>
  <c r="M55" i="12" s="1"/>
  <c r="AF36" i="13"/>
  <c r="W36" i="13" s="1"/>
  <c r="M49" i="5"/>
  <c r="R49" i="5"/>
  <c r="AL35" i="13"/>
  <c r="M47" i="13"/>
  <c r="AL7" i="5"/>
  <c r="AS38" i="12"/>
  <c r="AF36" i="12"/>
  <c r="W36" i="12" s="1"/>
  <c r="AF32" i="12"/>
  <c r="W32" i="12" s="1"/>
  <c r="AF28" i="12"/>
  <c r="W28" i="12" s="1"/>
  <c r="AF24" i="12"/>
  <c r="W24" i="12" s="1"/>
  <c r="AF20" i="12"/>
  <c r="W20" i="12" s="1"/>
  <c r="AF16" i="12"/>
  <c r="W16" i="12" s="1"/>
  <c r="AF12" i="12"/>
  <c r="W12" i="12" s="1"/>
  <c r="AF8" i="12"/>
  <c r="W8" i="12" s="1"/>
  <c r="AF33" i="13"/>
  <c r="W33" i="13" s="1"/>
  <c r="M47" i="5"/>
  <c r="AK29" i="12"/>
  <c r="AK21" i="12"/>
  <c r="AS37" i="13"/>
  <c r="AB37" i="13"/>
  <c r="AB38" i="13" s="1"/>
  <c r="AB39" i="13" s="1"/>
  <c r="AI37" i="13"/>
  <c r="AI38" i="13" s="1"/>
  <c r="AI39" i="13" s="1"/>
  <c r="AG36" i="13"/>
  <c r="AQ38" i="12"/>
  <c r="AP37" i="13"/>
  <c r="M46" i="13"/>
  <c r="M48" i="5"/>
  <c r="R48" i="5"/>
  <c r="AF34" i="13"/>
  <c r="W34" i="13" s="1"/>
  <c r="AE37" i="13"/>
  <c r="AE38" i="13" s="1"/>
  <c r="AE39" i="13" s="1"/>
  <c r="AR37" i="13"/>
  <c r="AI38" i="5"/>
  <c r="AI39" i="5" s="1"/>
  <c r="AI40" i="5" s="1"/>
  <c r="AL26" i="5"/>
  <c r="AL18" i="5"/>
  <c r="AM38" i="7"/>
  <c r="AL36" i="7"/>
  <c r="AZ44" i="7"/>
  <c r="T41" i="7" s="1"/>
  <c r="AB38" i="7"/>
  <c r="AB39" i="7" s="1"/>
  <c r="AB40" i="7" s="1"/>
  <c r="M46" i="8"/>
  <c r="R46" i="8"/>
  <c r="AQ37" i="13"/>
  <c r="AD27" i="13"/>
  <c r="AH27" i="13" s="1"/>
  <c r="AD23" i="13"/>
  <c r="AH23" i="13" s="1"/>
  <c r="AD19" i="13"/>
  <c r="AH19" i="13" s="1"/>
  <c r="AD15" i="13"/>
  <c r="AH15" i="13" s="1"/>
  <c r="AD11" i="13"/>
  <c r="AH11" i="13" s="1"/>
  <c r="AD7" i="13"/>
  <c r="AK32" i="5"/>
  <c r="AK12" i="5"/>
  <c r="AF9" i="5"/>
  <c r="AD8" i="5"/>
  <c r="AQ38" i="7"/>
  <c r="AS38" i="5"/>
  <c r="AF36" i="5"/>
  <c r="W36" i="5" s="1"/>
  <c r="AF32" i="5"/>
  <c r="W32" i="5" s="1"/>
  <c r="AD31" i="5"/>
  <c r="AH31" i="5" s="1"/>
  <c r="AF28" i="5"/>
  <c r="W28" i="5" s="1"/>
  <c r="Q26" i="5"/>
  <c r="M46" i="5" s="1"/>
  <c r="AF24" i="5"/>
  <c r="W24" i="5" s="1"/>
  <c r="AF20" i="5"/>
  <c r="W20" i="5" s="1"/>
  <c r="AF16" i="5"/>
  <c r="W16" i="5" s="1"/>
  <c r="AF12" i="5"/>
  <c r="W12" i="5" s="1"/>
  <c r="AP38" i="7"/>
  <c r="AS38" i="7"/>
  <c r="S32" i="7"/>
  <c r="R48" i="7" s="1"/>
  <c r="R48" i="8"/>
  <c r="M48" i="8"/>
  <c r="AF29" i="13"/>
  <c r="W29" i="13" s="1"/>
  <c r="AF25" i="13"/>
  <c r="W25" i="13" s="1"/>
  <c r="AF21" i="13"/>
  <c r="W21" i="13" s="1"/>
  <c r="AF17" i="13"/>
  <c r="W17" i="13" s="1"/>
  <c r="AF9" i="13"/>
  <c r="W9" i="13" s="1"/>
  <c r="AF10" i="5"/>
  <c r="W10" i="5" s="1"/>
  <c r="AE38" i="5"/>
  <c r="AE39" i="5" s="1"/>
  <c r="AE40" i="5" s="1"/>
  <c r="M47" i="8"/>
  <c r="R47" i="8"/>
  <c r="AG37" i="7"/>
  <c r="X37" i="7" s="1"/>
  <c r="AK35" i="7"/>
  <c r="AG33" i="7"/>
  <c r="X33" i="7" s="1"/>
  <c r="AV7" i="5"/>
  <c r="N7" i="5" s="1"/>
  <c r="AG7" i="5"/>
  <c r="AP47" i="8"/>
  <c r="AK41" i="8"/>
  <c r="M45" i="8"/>
  <c r="R45" i="8"/>
  <c r="AW7" i="5"/>
  <c r="M49" i="7"/>
  <c r="AR38" i="7"/>
  <c r="AK21" i="7"/>
  <c r="AS37" i="8"/>
  <c r="M48" i="9"/>
  <c r="R48" i="9"/>
  <c r="AF33" i="7"/>
  <c r="W33" i="7" s="1"/>
  <c r="AD32" i="7"/>
  <c r="AF29" i="7"/>
  <c r="W29" i="7" s="1"/>
  <c r="AF25" i="7"/>
  <c r="W25" i="7" s="1"/>
  <c r="AF21" i="7"/>
  <c r="W21" i="7" s="1"/>
  <c r="AF17" i="7"/>
  <c r="W17" i="7" s="1"/>
  <c r="AF13" i="7"/>
  <c r="W13" i="7" s="1"/>
  <c r="AF9" i="7"/>
  <c r="W9" i="7" s="1"/>
  <c r="AW8" i="8"/>
  <c r="AV8" i="8"/>
  <c r="AQ37" i="8"/>
  <c r="AF36" i="8"/>
  <c r="W36" i="8" s="1"/>
  <c r="AF32" i="8"/>
  <c r="W32" i="8" s="1"/>
  <c r="AL31" i="8"/>
  <c r="AF28" i="8"/>
  <c r="W28" i="8" s="1"/>
  <c r="AF24" i="8"/>
  <c r="W24" i="8" s="1"/>
  <c r="AF20" i="8"/>
  <c r="W20" i="8" s="1"/>
  <c r="AF14" i="8"/>
  <c r="W14" i="8" s="1"/>
  <c r="AD33" i="7"/>
  <c r="AH33" i="7" s="1"/>
  <c r="AG33" i="8"/>
  <c r="X33" i="8" s="1"/>
  <c r="AK25" i="8"/>
  <c r="AF11" i="8"/>
  <c r="W11" i="8" s="1"/>
  <c r="AF7" i="8"/>
  <c r="AK27" i="7"/>
  <c r="AM37" i="8"/>
  <c r="AC37" i="8"/>
  <c r="AC38" i="8" s="1"/>
  <c r="AC39" i="8" s="1"/>
  <c r="AG17" i="8"/>
  <c r="AF7" i="7"/>
  <c r="AG30" i="8"/>
  <c r="X30" i="8" s="1"/>
  <c r="AG26" i="8"/>
  <c r="X26" i="8" s="1"/>
  <c r="AG22" i="8"/>
  <c r="X22" i="8" s="1"/>
  <c r="AF9" i="8"/>
  <c r="W9" i="8" s="1"/>
  <c r="AH7" i="9"/>
  <c r="AW8" i="7"/>
  <c r="AK36" i="9"/>
  <c r="AK16" i="9"/>
  <c r="AD11" i="9"/>
  <c r="AH11" i="9" s="1"/>
  <c r="AK34" i="4"/>
  <c r="AS38" i="9"/>
  <c r="AD35" i="9"/>
  <c r="AH35" i="9" s="1"/>
  <c r="AD31" i="9"/>
  <c r="AH31" i="9" s="1"/>
  <c r="Q30" i="9"/>
  <c r="R46" i="9" s="1"/>
  <c r="AD27" i="9"/>
  <c r="AH27" i="9" s="1"/>
  <c r="AD23" i="9"/>
  <c r="AH23" i="9" s="1"/>
  <c r="AD19" i="9"/>
  <c r="AH19" i="9" s="1"/>
  <c r="AD15" i="9"/>
  <c r="AH15" i="9" s="1"/>
  <c r="AF18" i="3"/>
  <c r="W18" i="3" s="1"/>
  <c r="AE38" i="3"/>
  <c r="AE39" i="3" s="1"/>
  <c r="AE40" i="3" s="1"/>
  <c r="AG30" i="9"/>
  <c r="X30" i="9" s="1"/>
  <c r="AK30" i="9"/>
  <c r="AK22" i="9"/>
  <c r="AV7" i="9"/>
  <c r="N7" i="9" s="1"/>
  <c r="AS38" i="3"/>
  <c r="S26" i="3"/>
  <c r="R48" i="3" s="1"/>
  <c r="Q18" i="3"/>
  <c r="AQ38" i="3"/>
  <c r="AG22" i="3"/>
  <c r="X22" i="3" s="1"/>
  <c r="AF22" i="3"/>
  <c r="W22" i="3" s="1"/>
  <c r="AG23" i="3"/>
  <c r="X23" i="3" s="1"/>
  <c r="AI38" i="3"/>
  <c r="AI39" i="3" s="1"/>
  <c r="AI40" i="3" s="1"/>
  <c r="S31" i="4"/>
  <c r="R46" i="4" s="1"/>
  <c r="AV8" i="9"/>
  <c r="N8" i="9" s="1"/>
  <c r="AC38" i="3"/>
  <c r="AC39" i="3" s="1"/>
  <c r="AC40" i="3" s="1"/>
  <c r="AD26" i="3"/>
  <c r="AH26" i="3" s="1"/>
  <c r="AF35" i="3"/>
  <c r="W35" i="3" s="1"/>
  <c r="AF31" i="3"/>
  <c r="W31" i="3" s="1"/>
  <c r="AF27" i="3"/>
  <c r="W27" i="3" s="1"/>
  <c r="AD17" i="3"/>
  <c r="AH17" i="3" s="1"/>
  <c r="W19" i="4"/>
  <c r="AF36" i="3"/>
  <c r="W36" i="3" s="1"/>
  <c r="AF32" i="3"/>
  <c r="W32" i="3" s="1"/>
  <c r="AF28" i="3"/>
  <c r="W28" i="3" s="1"/>
  <c r="AK23" i="3"/>
  <c r="R45" i="4"/>
  <c r="AG26" i="4"/>
  <c r="X26" i="4" s="1"/>
  <c r="AD30" i="4"/>
  <c r="AH30" i="4" s="1"/>
  <c r="AF30" i="4"/>
  <c r="W30" i="4" s="1"/>
  <c r="AF24" i="3"/>
  <c r="W24" i="3" s="1"/>
  <c r="AF23" i="3"/>
  <c r="W23" i="3" s="1"/>
  <c r="AG32" i="4"/>
  <c r="X32" i="4" s="1"/>
  <c r="AZ44" i="4"/>
  <c r="T39" i="4" s="1"/>
  <c r="AD23" i="4"/>
  <c r="AH23" i="4" s="1"/>
  <c r="AF21" i="3"/>
  <c r="W21" i="3" s="1"/>
  <c r="AF20" i="3"/>
  <c r="W20" i="3" s="1"/>
  <c r="AD20" i="3"/>
  <c r="AH20" i="3" s="1"/>
  <c r="AG14" i="3"/>
  <c r="X14" i="3" s="1"/>
  <c r="Q32" i="4"/>
  <c r="AK9" i="3"/>
  <c r="AF17" i="3"/>
  <c r="W17" i="3" s="1"/>
  <c r="AF13" i="3"/>
  <c r="W13" i="3" s="1"/>
  <c r="AF9" i="3"/>
  <c r="W9" i="3" s="1"/>
  <c r="AF34" i="4"/>
  <c r="W34" i="4" s="1"/>
  <c r="AF29" i="4"/>
  <c r="W29" i="4" s="1"/>
  <c r="AF24" i="4"/>
  <c r="W24" i="4" s="1"/>
  <c r="AG24" i="4"/>
  <c r="X24" i="4" s="1"/>
  <c r="AP49" i="14"/>
  <c r="AF26" i="4"/>
  <c r="W26" i="4" s="1"/>
  <c r="M48" i="14"/>
  <c r="AF19" i="3"/>
  <c r="W19" i="3" s="1"/>
  <c r="AF11" i="3"/>
  <c r="W11" i="3" s="1"/>
  <c r="AF7" i="3"/>
  <c r="AD24" i="4"/>
  <c r="AH24" i="4" s="1"/>
  <c r="AD20" i="4"/>
  <c r="AH20" i="4" s="1"/>
  <c r="AF25" i="4"/>
  <c r="W25" i="4" s="1"/>
  <c r="AL22" i="4"/>
  <c r="R47" i="14"/>
  <c r="AF21" i="4"/>
  <c r="W21" i="4" s="1"/>
  <c r="AW7" i="4"/>
  <c r="AR38" i="14"/>
  <c r="AK37" i="14"/>
  <c r="AF35" i="14"/>
  <c r="W35" i="14" s="1"/>
  <c r="AD35" i="14"/>
  <c r="AH35" i="14" s="1"/>
  <c r="AD26" i="4"/>
  <c r="AH26" i="4" s="1"/>
  <c r="AD22" i="4"/>
  <c r="AH22" i="4" s="1"/>
  <c r="AD18" i="4"/>
  <c r="AH18" i="4" s="1"/>
  <c r="AD14" i="4"/>
  <c r="AH14" i="4" s="1"/>
  <c r="AD10" i="4"/>
  <c r="AQ38" i="14"/>
  <c r="X14" i="14"/>
  <c r="AG20" i="4"/>
  <c r="X20" i="4" s="1"/>
  <c r="AK20" i="4"/>
  <c r="AG16" i="4"/>
  <c r="X16" i="4" s="1"/>
  <c r="AG12" i="4"/>
  <c r="AK12" i="4"/>
  <c r="AG29" i="14"/>
  <c r="X29" i="14" s="1"/>
  <c r="M46" i="14"/>
  <c r="AK13" i="4"/>
  <c r="AC38" i="14"/>
  <c r="AC39" i="14" s="1"/>
  <c r="AC40" i="14" s="1"/>
  <c r="AD29" i="14"/>
  <c r="AH29" i="14" s="1"/>
  <c r="AD33" i="14"/>
  <c r="AH33" i="14" s="1"/>
  <c r="AK24" i="14"/>
  <c r="AS38" i="14"/>
  <c r="AD31" i="14"/>
  <c r="AH31" i="14" s="1"/>
  <c r="AD27" i="14"/>
  <c r="AH27" i="14" s="1"/>
  <c r="AD23" i="14"/>
  <c r="AH23" i="14" s="1"/>
  <c r="AD19" i="14"/>
  <c r="AH19" i="14" s="1"/>
  <c r="M47" i="6"/>
  <c r="R47" i="6"/>
  <c r="R48" i="6"/>
  <c r="M48" i="6"/>
  <c r="AF16" i="14"/>
  <c r="W16" i="14" s="1"/>
  <c r="AL7" i="14"/>
  <c r="AD15" i="14"/>
  <c r="AF15" i="14"/>
  <c r="W15" i="14" s="1"/>
  <c r="AS37" i="6"/>
  <c r="AF35" i="6"/>
  <c r="W35" i="6" s="1"/>
  <c r="AD34" i="6"/>
  <c r="AH34" i="6" s="1"/>
  <c r="Q33" i="6"/>
  <c r="M45" i="6" s="1"/>
  <c r="AF31" i="6"/>
  <c r="W31" i="6" s="1"/>
  <c r="AQ38" i="10"/>
  <c r="Q29" i="10"/>
  <c r="AD17" i="6"/>
  <c r="AH17" i="6" s="1"/>
  <c r="AF17" i="6"/>
  <c r="W17" i="6" s="1"/>
  <c r="AK15" i="6"/>
  <c r="AE38" i="10"/>
  <c r="AE39" i="10" s="1"/>
  <c r="AE40" i="10" s="1"/>
  <c r="AE37" i="6"/>
  <c r="AE38" i="6" s="1"/>
  <c r="AE39" i="6" s="1"/>
  <c r="AF36" i="6"/>
  <c r="W36" i="6" s="1"/>
  <c r="AF32" i="6"/>
  <c r="W32" i="6" s="1"/>
  <c r="AD36" i="10"/>
  <c r="AH36" i="10" s="1"/>
  <c r="AF36" i="10"/>
  <c r="W36" i="10" s="1"/>
  <c r="AN39" i="10"/>
  <c r="H42" i="10" s="1"/>
  <c r="AI38" i="10"/>
  <c r="AI39" i="10" s="1"/>
  <c r="AI40" i="10" s="1"/>
  <c r="T23" i="10"/>
  <c r="AP38" i="10"/>
  <c r="R16" i="10"/>
  <c r="AR38" i="10"/>
  <c r="AW7" i="14"/>
  <c r="AF33" i="6"/>
  <c r="W33" i="6" s="1"/>
  <c r="AF29" i="6"/>
  <c r="W29" i="6" s="1"/>
  <c r="AG26" i="6"/>
  <c r="X26" i="6" s="1"/>
  <c r="AD37" i="10"/>
  <c r="AH37" i="10" s="1"/>
  <c r="AF37" i="10"/>
  <c r="W37" i="10" s="1"/>
  <c r="M48" i="10"/>
  <c r="R48" i="10"/>
  <c r="AZ44" i="10"/>
  <c r="T41" i="10" s="1"/>
  <c r="AF11" i="14"/>
  <c r="W11" i="14" s="1"/>
  <c r="AF7" i="14"/>
  <c r="AF26" i="6"/>
  <c r="W26" i="6" s="1"/>
  <c r="AL22" i="6"/>
  <c r="AF18" i="6"/>
  <c r="W18" i="6" s="1"/>
  <c r="AF11" i="6"/>
  <c r="AG7" i="6"/>
  <c r="AG35" i="10"/>
  <c r="X35" i="10" s="1"/>
  <c r="AG32" i="10"/>
  <c r="X32" i="10" s="1"/>
  <c r="AF21" i="10"/>
  <c r="W21" i="10" s="1"/>
  <c r="AD21" i="10"/>
  <c r="AH21" i="10" s="1"/>
  <c r="AB38" i="10"/>
  <c r="AB39" i="10" s="1"/>
  <c r="AB40" i="10" s="1"/>
  <c r="AF24" i="6"/>
  <c r="W24" i="6" s="1"/>
  <c r="AF19" i="6"/>
  <c r="W19" i="6" s="1"/>
  <c r="AD10" i="6"/>
  <c r="AD25" i="10"/>
  <c r="AH25" i="10" s="1"/>
  <c r="AD20" i="10"/>
  <c r="AH20" i="10" s="1"/>
  <c r="AF20" i="10"/>
  <c r="W20" i="10" s="1"/>
  <c r="AD13" i="10"/>
  <c r="AH13" i="10" s="1"/>
  <c r="AD28" i="10"/>
  <c r="AH28" i="10" s="1"/>
  <c r="AF28" i="10"/>
  <c r="W28" i="10" s="1"/>
  <c r="AD24" i="10"/>
  <c r="AH24" i="10" s="1"/>
  <c r="AF24" i="10"/>
  <c r="W24" i="10" s="1"/>
  <c r="AD12" i="10"/>
  <c r="AH12" i="10" s="1"/>
  <c r="AF12" i="10"/>
  <c r="W12" i="10" s="1"/>
  <c r="AS38" i="10"/>
  <c r="AD32" i="10"/>
  <c r="AH32" i="10" s="1"/>
  <c r="AF32" i="10"/>
  <c r="W32" i="10" s="1"/>
  <c r="AF33" i="10"/>
  <c r="W33" i="10" s="1"/>
  <c r="AD16" i="10"/>
  <c r="AH16" i="10" s="1"/>
  <c r="AF16" i="10"/>
  <c r="W16" i="10" s="1"/>
  <c r="AD8" i="10"/>
  <c r="AF8" i="10"/>
  <c r="AD30" i="10"/>
  <c r="AH30" i="10" s="1"/>
  <c r="AF29" i="10"/>
  <c r="W29" i="10" s="1"/>
  <c r="AK27" i="10"/>
  <c r="AK19" i="10"/>
  <c r="AW7" i="10"/>
  <c r="AX11" i="10"/>
  <c r="AK20" i="10"/>
  <c r="AL25" i="12" l="1"/>
  <c r="AL26" i="12"/>
  <c r="AL18" i="12"/>
  <c r="AL11" i="6"/>
  <c r="AL19" i="12"/>
  <c r="AL33" i="12"/>
  <c r="AD38" i="12"/>
  <c r="AD39" i="12" s="1"/>
  <c r="AD40" i="12" s="1"/>
  <c r="C35" i="15" s="1"/>
  <c r="U48" i="13"/>
  <c r="AU37" i="13"/>
  <c r="M54" i="13" s="1"/>
  <c r="AK36" i="4"/>
  <c r="AK37" i="4" s="1"/>
  <c r="AK38" i="4" s="1"/>
  <c r="E27" i="15" s="1"/>
  <c r="AL13" i="14"/>
  <c r="M51" i="10"/>
  <c r="AF46" i="10" s="1"/>
  <c r="R47" i="12"/>
  <c r="U47" i="12" s="1"/>
  <c r="AL18" i="10"/>
  <c r="M47" i="4"/>
  <c r="U47" i="4" s="1"/>
  <c r="AL7" i="8"/>
  <c r="AL21" i="14"/>
  <c r="AU36" i="4"/>
  <c r="M53" i="4" s="1"/>
  <c r="AL20" i="14"/>
  <c r="AL28" i="14"/>
  <c r="AD37" i="8"/>
  <c r="AD38" i="8" s="1"/>
  <c r="AD39" i="8" s="1"/>
  <c r="C31" i="15" s="1"/>
  <c r="M44" i="4"/>
  <c r="AE42" i="4" s="1"/>
  <c r="AL21" i="13"/>
  <c r="AH37" i="8"/>
  <c r="AH38" i="8" s="1"/>
  <c r="AH39" i="8" s="1"/>
  <c r="AK41" i="6"/>
  <c r="AP48" i="3"/>
  <c r="AR48" i="3" s="1"/>
  <c r="AP48" i="5"/>
  <c r="AQ48" i="5" s="1"/>
  <c r="AX9" i="4"/>
  <c r="AX10" i="4" s="1"/>
  <c r="AK41" i="13"/>
  <c r="M46" i="4"/>
  <c r="U46" i="4" s="1"/>
  <c r="W9" i="4"/>
  <c r="AF36" i="4"/>
  <c r="AF37" i="4" s="1"/>
  <c r="AF38" i="4" s="1"/>
  <c r="AH9" i="4"/>
  <c r="AD36" i="4"/>
  <c r="AD37" i="4" s="1"/>
  <c r="AD38" i="4" s="1"/>
  <c r="C27" i="15" s="1"/>
  <c r="X9" i="4"/>
  <c r="AG36" i="4"/>
  <c r="AG37" i="4" s="1"/>
  <c r="AG38" i="4" s="1"/>
  <c r="U47" i="8"/>
  <c r="R45" i="6"/>
  <c r="U45" i="6" s="1"/>
  <c r="AM38" i="9"/>
  <c r="AH38" i="12"/>
  <c r="AH39" i="12" s="1"/>
  <c r="AH40" i="12" s="1"/>
  <c r="U48" i="11"/>
  <c r="R47" i="11"/>
  <c r="M47" i="3"/>
  <c r="AE44" i="3" s="1"/>
  <c r="M51" i="5"/>
  <c r="AU38" i="5"/>
  <c r="M55" i="5" s="1"/>
  <c r="AK11" i="10"/>
  <c r="AK38" i="10" s="1"/>
  <c r="AK39" i="10" s="1"/>
  <c r="AK40" i="10" s="1"/>
  <c r="B33" i="15" s="1"/>
  <c r="R47" i="9"/>
  <c r="U47" i="9" s="1"/>
  <c r="AF38" i="9"/>
  <c r="AF39" i="9" s="1"/>
  <c r="AF40" i="9" s="1"/>
  <c r="F32" i="15" s="1"/>
  <c r="R49" i="9"/>
  <c r="U49" i="9" s="1"/>
  <c r="AP48" i="9"/>
  <c r="M50" i="13"/>
  <c r="AL7" i="13"/>
  <c r="AK7" i="13"/>
  <c r="AK37" i="13" s="1"/>
  <c r="AK38" i="13" s="1"/>
  <c r="AK39" i="13" s="1"/>
  <c r="B36" i="15" s="1"/>
  <c r="M7" i="13"/>
  <c r="M8" i="13" s="1"/>
  <c r="M9" i="13" s="1"/>
  <c r="U45" i="13"/>
  <c r="U47" i="13"/>
  <c r="AL32" i="14"/>
  <c r="AK32" i="14"/>
  <c r="U47" i="14"/>
  <c r="M7" i="3"/>
  <c r="O7" i="3" s="1"/>
  <c r="AL8" i="3"/>
  <c r="AK8" i="3"/>
  <c r="AK38" i="3" s="1"/>
  <c r="AK39" i="3" s="1"/>
  <c r="AK40" i="3" s="1"/>
  <c r="E26" i="15" s="1"/>
  <c r="R44" i="4"/>
  <c r="AK37" i="8"/>
  <c r="AK38" i="8" s="1"/>
  <c r="AK39" i="8" s="1"/>
  <c r="E31" i="15" s="1"/>
  <c r="M7" i="11"/>
  <c r="M8" i="11" s="1"/>
  <c r="M9" i="11" s="1"/>
  <c r="AL23" i="6"/>
  <c r="AK23" i="6"/>
  <c r="AK38" i="5"/>
  <c r="AK39" i="5" s="1"/>
  <c r="AK40" i="5" s="1"/>
  <c r="M42" i="5" s="1"/>
  <c r="U49" i="5"/>
  <c r="AL36" i="14"/>
  <c r="AL29" i="14"/>
  <c r="AL22" i="14"/>
  <c r="AL15" i="14"/>
  <c r="U49" i="14"/>
  <c r="U48" i="14"/>
  <c r="AU38" i="14"/>
  <c r="M55" i="14" s="1"/>
  <c r="AL17" i="14"/>
  <c r="AK17" i="14"/>
  <c r="AL18" i="13"/>
  <c r="AL24" i="13"/>
  <c r="AL25" i="13"/>
  <c r="AW8" i="13"/>
  <c r="AL13" i="12"/>
  <c r="AB45" i="12" s="1"/>
  <c r="AL22" i="11"/>
  <c r="U48" i="12"/>
  <c r="AL23" i="11"/>
  <c r="AL8" i="11"/>
  <c r="AL36" i="11"/>
  <c r="AL9" i="11"/>
  <c r="U47" i="11"/>
  <c r="AK16" i="11"/>
  <c r="AK37" i="11" s="1"/>
  <c r="AK38" i="11" s="1"/>
  <c r="AK39" i="11" s="1"/>
  <c r="B34" i="15" s="1"/>
  <c r="AL16" i="11"/>
  <c r="AL15" i="11"/>
  <c r="AL26" i="10"/>
  <c r="AL25" i="10"/>
  <c r="U48" i="10"/>
  <c r="AK29" i="9"/>
  <c r="AL29" i="9"/>
  <c r="AL28" i="9"/>
  <c r="AK7" i="9"/>
  <c r="AL7" i="9"/>
  <c r="M7" i="9"/>
  <c r="M8" i="9" s="1"/>
  <c r="O8" i="9" s="1"/>
  <c r="U48" i="9"/>
  <c r="AL23" i="8"/>
  <c r="AL16" i="8"/>
  <c r="U48" i="8"/>
  <c r="AL33" i="7"/>
  <c r="AL19" i="7"/>
  <c r="AL12" i="7"/>
  <c r="AL7" i="7"/>
  <c r="U47" i="7"/>
  <c r="U46" i="7"/>
  <c r="U49" i="7"/>
  <c r="AK38" i="7"/>
  <c r="AK39" i="7" s="1"/>
  <c r="AK40" i="7" s="1"/>
  <c r="B30" i="15" s="1"/>
  <c r="AL9" i="6"/>
  <c r="AK9" i="6"/>
  <c r="R46" i="6"/>
  <c r="U46" i="6" s="1"/>
  <c r="AL14" i="6"/>
  <c r="AL7" i="6"/>
  <c r="AL35" i="6"/>
  <c r="AK8" i="6"/>
  <c r="AL8" i="6"/>
  <c r="AM37" i="6"/>
  <c r="M50" i="6" s="1"/>
  <c r="U48" i="6"/>
  <c r="U48" i="5"/>
  <c r="AL31" i="4"/>
  <c r="AB43" i="4" s="1"/>
  <c r="AL28" i="3"/>
  <c r="AL35" i="3"/>
  <c r="AL13" i="3"/>
  <c r="AL7" i="3"/>
  <c r="AM38" i="3"/>
  <c r="AM39" i="3" s="1"/>
  <c r="U51" i="3" s="1"/>
  <c r="U49" i="3"/>
  <c r="AF42" i="6"/>
  <c r="AE43" i="5"/>
  <c r="M46" i="10"/>
  <c r="R46" i="10"/>
  <c r="AH10" i="6"/>
  <c r="AH37" i="6" s="1"/>
  <c r="AH38" i="6" s="1"/>
  <c r="AH39" i="6" s="1"/>
  <c r="AD37" i="6"/>
  <c r="AD38" i="6" s="1"/>
  <c r="AD39" i="6" s="1"/>
  <c r="C29" i="15" s="1"/>
  <c r="M47" i="10"/>
  <c r="R47" i="10"/>
  <c r="AK40" i="4"/>
  <c r="AP47" i="4"/>
  <c r="AH38" i="9"/>
  <c r="AH39" i="9" s="1"/>
  <c r="AH40" i="9" s="1"/>
  <c r="M46" i="9"/>
  <c r="AF43" i="8"/>
  <c r="U46" i="8"/>
  <c r="AV8" i="12"/>
  <c r="AW8" i="12"/>
  <c r="AF43" i="11"/>
  <c r="U46" i="11"/>
  <c r="AD38" i="3"/>
  <c r="AD39" i="3" s="1"/>
  <c r="AD40" i="3" s="1"/>
  <c r="C26" i="15" s="1"/>
  <c r="AD38" i="9"/>
  <c r="AD39" i="9" s="1"/>
  <c r="AD40" i="9" s="1"/>
  <c r="C32" i="15" s="1"/>
  <c r="X17" i="8"/>
  <c r="AG37" i="8"/>
  <c r="AG38" i="8" s="1"/>
  <c r="AG39" i="8" s="1"/>
  <c r="AQ48" i="3"/>
  <c r="AF42" i="8"/>
  <c r="U45" i="8"/>
  <c r="W11" i="6"/>
  <c r="AF37" i="6"/>
  <c r="AF38" i="6" s="1"/>
  <c r="AF39" i="6" s="1"/>
  <c r="W7" i="14"/>
  <c r="AF38" i="14"/>
  <c r="AF39" i="14" s="1"/>
  <c r="AF40" i="14" s="1"/>
  <c r="M49" i="10"/>
  <c r="R49" i="10"/>
  <c r="AG38" i="14"/>
  <c r="AG39" i="14" s="1"/>
  <c r="AG40" i="14" s="1"/>
  <c r="M49" i="4"/>
  <c r="AM37" i="4"/>
  <c r="U49" i="4" s="1"/>
  <c r="AH38" i="3"/>
  <c r="AH39" i="3" s="1"/>
  <c r="AH40" i="3" s="1"/>
  <c r="AG38" i="7"/>
  <c r="AG39" i="7" s="1"/>
  <c r="AG40" i="7" s="1"/>
  <c r="AH8" i="11"/>
  <c r="AH37" i="11" s="1"/>
  <c r="AH38" i="11" s="1"/>
  <c r="AH39" i="11" s="1"/>
  <c r="AD37" i="11"/>
  <c r="AD38" i="11" s="1"/>
  <c r="AD39" i="11" s="1"/>
  <c r="C34" i="15" s="1"/>
  <c r="AK38" i="12"/>
  <c r="AK39" i="12" s="1"/>
  <c r="AK40" i="12" s="1"/>
  <c r="AE43" i="12"/>
  <c r="U46" i="12"/>
  <c r="AR47" i="13"/>
  <c r="AQ47" i="13"/>
  <c r="AF38" i="12"/>
  <c r="AF39" i="12" s="1"/>
  <c r="AF40" i="12" s="1"/>
  <c r="AQ49" i="14"/>
  <c r="AR49" i="14"/>
  <c r="W8" i="10"/>
  <c r="AF38" i="10"/>
  <c r="AF39" i="10" s="1"/>
  <c r="AF40" i="10" s="1"/>
  <c r="AV8" i="14"/>
  <c r="AW8" i="14"/>
  <c r="AG38" i="10"/>
  <c r="AG39" i="10" s="1"/>
  <c r="AG40" i="10" s="1"/>
  <c r="AF44" i="14"/>
  <c r="U46" i="14"/>
  <c r="M51" i="14"/>
  <c r="AM39" i="14"/>
  <c r="U51" i="14" s="1"/>
  <c r="M48" i="3"/>
  <c r="U48" i="3" s="1"/>
  <c r="M50" i="8"/>
  <c r="AM38" i="8"/>
  <c r="U50" i="8" s="1"/>
  <c r="AG38" i="9"/>
  <c r="AG39" i="9" s="1"/>
  <c r="AG40" i="9" s="1"/>
  <c r="M44" i="9"/>
  <c r="AQ47" i="8"/>
  <c r="AR47" i="8"/>
  <c r="AH8" i="5"/>
  <c r="AH38" i="5" s="1"/>
  <c r="AH39" i="5" s="1"/>
  <c r="AH40" i="5" s="1"/>
  <c r="AD38" i="5"/>
  <c r="AD39" i="5" s="1"/>
  <c r="AD40" i="5" s="1"/>
  <c r="C28" i="15" s="1"/>
  <c r="AK42" i="7"/>
  <c r="AP48" i="7"/>
  <c r="R46" i="5"/>
  <c r="U46" i="5" s="1"/>
  <c r="AV8" i="11"/>
  <c r="N8" i="11" s="1"/>
  <c r="AW8" i="11"/>
  <c r="M50" i="11"/>
  <c r="AM38" i="11"/>
  <c r="U50" i="11" s="1"/>
  <c r="AQ47" i="11"/>
  <c r="AR47" i="11"/>
  <c r="AF43" i="6"/>
  <c r="AV8" i="10"/>
  <c r="AW8" i="10"/>
  <c r="AH8" i="10"/>
  <c r="AH38" i="10" s="1"/>
  <c r="AH39" i="10" s="1"/>
  <c r="AH40" i="10" s="1"/>
  <c r="AD38" i="10"/>
  <c r="AD39" i="10" s="1"/>
  <c r="AD40" i="10" s="1"/>
  <c r="C33" i="15" s="1"/>
  <c r="X7" i="6"/>
  <c r="AG37" i="6"/>
  <c r="AG38" i="6" s="1"/>
  <c r="AG39" i="6" s="1"/>
  <c r="AQ47" i="6"/>
  <c r="AR47" i="6"/>
  <c r="AG38" i="3"/>
  <c r="AG39" i="3" s="1"/>
  <c r="AG40" i="3" s="1"/>
  <c r="AM39" i="9"/>
  <c r="U51" i="9" s="1"/>
  <c r="M51" i="9"/>
  <c r="AF46" i="9" s="1"/>
  <c r="N9" i="9"/>
  <c r="AV9" i="7"/>
  <c r="AW9" i="7"/>
  <c r="X7" i="5"/>
  <c r="AG38" i="5"/>
  <c r="AG39" i="5" s="1"/>
  <c r="AG40" i="5" s="1"/>
  <c r="W9" i="5"/>
  <c r="AF38" i="5"/>
  <c r="AF39" i="5" s="1"/>
  <c r="AF40" i="5" s="1"/>
  <c r="AF37" i="13"/>
  <c r="AF38" i="13" s="1"/>
  <c r="AF39" i="13" s="1"/>
  <c r="AV8" i="4"/>
  <c r="AW8" i="4"/>
  <c r="AE43" i="4"/>
  <c r="U45" i="4"/>
  <c r="AW9" i="8"/>
  <c r="AV9" i="8"/>
  <c r="AW8" i="5"/>
  <c r="AV8" i="5"/>
  <c r="N8" i="5" s="1"/>
  <c r="M51" i="7"/>
  <c r="AF46" i="7" s="1"/>
  <c r="AM39" i="7"/>
  <c r="U51" i="7" s="1"/>
  <c r="M48" i="7"/>
  <c r="U48" i="7" s="1"/>
  <c r="AB45" i="5"/>
  <c r="AB43" i="5"/>
  <c r="AB44" i="5"/>
  <c r="AE44" i="12"/>
  <c r="AG37" i="11"/>
  <c r="AG38" i="11" s="1"/>
  <c r="AG39" i="11" s="1"/>
  <c r="X13" i="11"/>
  <c r="AF42" i="11"/>
  <c r="U45" i="11"/>
  <c r="W7" i="3"/>
  <c r="AF38" i="3"/>
  <c r="AF39" i="3" s="1"/>
  <c r="AF40" i="3" s="1"/>
  <c r="U47" i="6"/>
  <c r="X12" i="4"/>
  <c r="AH10" i="4"/>
  <c r="N9" i="3"/>
  <c r="M46" i="3"/>
  <c r="R46" i="3"/>
  <c r="W7" i="7"/>
  <c r="AF38" i="7"/>
  <c r="AF39" i="7" s="1"/>
  <c r="AF40" i="7" s="1"/>
  <c r="W7" i="8"/>
  <c r="AF37" i="8"/>
  <c r="AF38" i="8" s="1"/>
  <c r="AF39" i="8" s="1"/>
  <c r="AH32" i="7"/>
  <c r="AH38" i="7" s="1"/>
  <c r="AH39" i="7" s="1"/>
  <c r="AH40" i="7" s="1"/>
  <c r="AD38" i="7"/>
  <c r="AD39" i="7" s="1"/>
  <c r="AD40" i="7" s="1"/>
  <c r="C30" i="15" s="1"/>
  <c r="U46" i="13"/>
  <c r="AE43" i="13"/>
  <c r="U47" i="5"/>
  <c r="AE44" i="5"/>
  <c r="AQ48" i="12"/>
  <c r="AR48" i="12"/>
  <c r="AG38" i="12"/>
  <c r="AG39" i="12" s="1"/>
  <c r="AG40" i="12" s="1"/>
  <c r="W13" i="11"/>
  <c r="AF37" i="11"/>
  <c r="AF38" i="11" s="1"/>
  <c r="AF39" i="11" s="1"/>
  <c r="U49" i="12"/>
  <c r="AK42" i="10"/>
  <c r="AP48" i="10"/>
  <c r="AH15" i="14"/>
  <c r="AH38" i="14" s="1"/>
  <c r="AH39" i="14" s="1"/>
  <c r="AH40" i="14" s="1"/>
  <c r="AD38" i="14"/>
  <c r="AD39" i="14" s="1"/>
  <c r="AD40" i="14" s="1"/>
  <c r="C37" i="15" s="1"/>
  <c r="AH7" i="13"/>
  <c r="AH37" i="13" s="1"/>
  <c r="AH38" i="13" s="1"/>
  <c r="AH39" i="13" s="1"/>
  <c r="AD37" i="13"/>
  <c r="AD38" i="13" s="1"/>
  <c r="AD39" i="13" s="1"/>
  <c r="C36" i="15" s="1"/>
  <c r="X36" i="13"/>
  <c r="AG37" i="13"/>
  <c r="AG38" i="13" s="1"/>
  <c r="AG39" i="13" s="1"/>
  <c r="AR48" i="5" l="1"/>
  <c r="AS48" i="5" s="1"/>
  <c r="AK48" i="5" s="1"/>
  <c r="AK49" i="5" s="1"/>
  <c r="M8" i="3"/>
  <c r="AB42" i="13"/>
  <c r="AM38" i="6"/>
  <c r="U50" i="6" s="1"/>
  <c r="AB43" i="10"/>
  <c r="AB41" i="8"/>
  <c r="U47" i="3"/>
  <c r="U44" i="4"/>
  <c r="AB43" i="13"/>
  <c r="AB44" i="13"/>
  <c r="AB41" i="4"/>
  <c r="AH36" i="4"/>
  <c r="AH37" i="4" s="1"/>
  <c r="AH38" i="4" s="1"/>
  <c r="P7" i="3"/>
  <c r="AK38" i="14"/>
  <c r="AK39" i="14" s="1"/>
  <c r="AK40" i="14" s="1"/>
  <c r="M42" i="14" s="1"/>
  <c r="M51" i="3"/>
  <c r="AB42" i="8"/>
  <c r="AB43" i="14"/>
  <c r="AB40" i="11"/>
  <c r="AB40" i="8"/>
  <c r="AB45" i="10"/>
  <c r="O8" i="13"/>
  <c r="AR48" i="9"/>
  <c r="AQ48" i="9"/>
  <c r="P7" i="13"/>
  <c r="O7" i="13"/>
  <c r="AS48" i="12"/>
  <c r="AK48" i="12" s="1"/>
  <c r="Z44" i="12" s="1"/>
  <c r="U55" i="12" s="1"/>
  <c r="AS47" i="8"/>
  <c r="AK47" i="8" s="1"/>
  <c r="Z43" i="8" s="1"/>
  <c r="U54" i="8" s="1"/>
  <c r="P8" i="13"/>
  <c r="AS49" i="14"/>
  <c r="AK49" i="14" s="1"/>
  <c r="AK50" i="14" s="1"/>
  <c r="AB42" i="14"/>
  <c r="AB41" i="14"/>
  <c r="AS47" i="13"/>
  <c r="AK47" i="13" s="1"/>
  <c r="AK48" i="13" s="1"/>
  <c r="AS47" i="11"/>
  <c r="AK47" i="11" s="1"/>
  <c r="AK48" i="11" s="1"/>
  <c r="AB44" i="10"/>
  <c r="AK38" i="9"/>
  <c r="AK39" i="9" s="1"/>
  <c r="AK40" i="9" s="1"/>
  <c r="E32" i="15" s="1"/>
  <c r="B31" i="15"/>
  <c r="M41" i="8"/>
  <c r="AB42" i="4"/>
  <c r="O8" i="11"/>
  <c r="P7" i="11"/>
  <c r="O7" i="11"/>
  <c r="E28" i="15"/>
  <c r="AB45" i="7"/>
  <c r="B28" i="15"/>
  <c r="AS48" i="3"/>
  <c r="AK48" i="3" s="1"/>
  <c r="AK49" i="3" s="1"/>
  <c r="AS47" i="6"/>
  <c r="AK47" i="6" s="1"/>
  <c r="Z43" i="6" s="1"/>
  <c r="U54" i="6" s="1"/>
  <c r="E36" i="15"/>
  <c r="M41" i="13"/>
  <c r="AB44" i="12"/>
  <c r="AB43" i="12"/>
  <c r="AB43" i="7"/>
  <c r="M9" i="9"/>
  <c r="M10" i="9" s="1"/>
  <c r="P8" i="9"/>
  <c r="O7" i="9"/>
  <c r="AV9" i="13"/>
  <c r="N9" i="13" s="1"/>
  <c r="O9" i="13" s="1"/>
  <c r="AW9" i="13"/>
  <c r="AB42" i="11"/>
  <c r="AB41" i="11"/>
  <c r="E34" i="15"/>
  <c r="M41" i="11"/>
  <c r="E33" i="15"/>
  <c r="M42" i="10"/>
  <c r="U49" i="10"/>
  <c r="AB43" i="9"/>
  <c r="AB44" i="9"/>
  <c r="AB45" i="9"/>
  <c r="P7" i="9"/>
  <c r="AB44" i="7"/>
  <c r="E30" i="15"/>
  <c r="M42" i="7"/>
  <c r="AB40" i="6"/>
  <c r="AK37" i="6"/>
  <c r="AK38" i="6" s="1"/>
  <c r="AK39" i="6" s="1"/>
  <c r="M41" i="6" s="1"/>
  <c r="AB41" i="6"/>
  <c r="AB42" i="6"/>
  <c r="B27" i="15"/>
  <c r="M40" i="4"/>
  <c r="AB43" i="3"/>
  <c r="AB45" i="3"/>
  <c r="AB44" i="3"/>
  <c r="B26" i="15"/>
  <c r="M42" i="3"/>
  <c r="F31" i="15"/>
  <c r="M43" i="8"/>
  <c r="H43" i="5"/>
  <c r="M44" i="6"/>
  <c r="G29" i="15"/>
  <c r="AQ48" i="10"/>
  <c r="AR48" i="10"/>
  <c r="AW10" i="9"/>
  <c r="AV10" i="9"/>
  <c r="N10" i="9" s="1"/>
  <c r="AV9" i="14"/>
  <c r="AW9" i="14"/>
  <c r="AQ47" i="4"/>
  <c r="AR47" i="4"/>
  <c r="G27" i="15"/>
  <c r="M43" i="4"/>
  <c r="O8" i="3"/>
  <c r="P8" i="3"/>
  <c r="M9" i="3"/>
  <c r="F30" i="15"/>
  <c r="M44" i="7"/>
  <c r="AV10" i="13"/>
  <c r="N10" i="13" s="1"/>
  <c r="AW10" i="13"/>
  <c r="G36" i="15"/>
  <c r="M44" i="13"/>
  <c r="N10" i="3"/>
  <c r="G28" i="15"/>
  <c r="M45" i="5"/>
  <c r="M44" i="10"/>
  <c r="F33" i="15"/>
  <c r="E35" i="15"/>
  <c r="B35" i="15"/>
  <c r="M42" i="12"/>
  <c r="M10" i="13"/>
  <c r="M44" i="14"/>
  <c r="F37" i="15"/>
  <c r="F34" i="15"/>
  <c r="M43" i="11"/>
  <c r="F26" i="15"/>
  <c r="M44" i="3"/>
  <c r="G34" i="15"/>
  <c r="M44" i="11"/>
  <c r="F36" i="15"/>
  <c r="M43" i="13"/>
  <c r="AQ48" i="7"/>
  <c r="AR48" i="7"/>
  <c r="M10" i="11"/>
  <c r="AV9" i="5"/>
  <c r="AW9" i="5"/>
  <c r="AV9" i="4"/>
  <c r="AW9" i="4"/>
  <c r="G26" i="15"/>
  <c r="M45" i="3"/>
  <c r="G32" i="15"/>
  <c r="M45" i="9"/>
  <c r="F35" i="15"/>
  <c r="M44" i="12"/>
  <c r="P8" i="11"/>
  <c r="U46" i="3"/>
  <c r="AE43" i="3"/>
  <c r="G35" i="15"/>
  <c r="M45" i="12"/>
  <c r="AV10" i="7"/>
  <c r="AW10" i="7"/>
  <c r="AV9" i="11"/>
  <c r="N9" i="11" s="1"/>
  <c r="P9" i="11" s="1"/>
  <c r="AW9" i="11"/>
  <c r="AV9" i="12"/>
  <c r="AW9" i="12"/>
  <c r="U46" i="9"/>
  <c r="AD43" i="9"/>
  <c r="U46" i="10"/>
  <c r="AW10" i="8"/>
  <c r="AV10" i="8"/>
  <c r="M45" i="10"/>
  <c r="G33" i="15"/>
  <c r="G30" i="15"/>
  <c r="M45" i="7"/>
  <c r="M43" i="6"/>
  <c r="F29" i="15"/>
  <c r="U47" i="10"/>
  <c r="AD44" i="10"/>
  <c r="F28" i="15"/>
  <c r="M44" i="5"/>
  <c r="AV9" i="10"/>
  <c r="AW9" i="10"/>
  <c r="M45" i="14"/>
  <c r="G37" i="15"/>
  <c r="G31" i="15"/>
  <c r="M44" i="8"/>
  <c r="F27" i="15"/>
  <c r="M42" i="4"/>
  <c r="AX13" i="10" l="1"/>
  <c r="AX12" i="13"/>
  <c r="H41" i="4"/>
  <c r="H42" i="13"/>
  <c r="H42" i="8"/>
  <c r="AX16" i="4"/>
  <c r="AX17" i="4" s="1"/>
  <c r="AK49" i="12"/>
  <c r="AH44" i="12" s="1"/>
  <c r="B37" i="15"/>
  <c r="E37" i="15"/>
  <c r="H43" i="10"/>
  <c r="AS48" i="9"/>
  <c r="AK48" i="9" s="1"/>
  <c r="Z43" i="13"/>
  <c r="U54" i="13" s="1"/>
  <c r="AK48" i="8"/>
  <c r="AH50" i="8" s="1"/>
  <c r="Z44" i="5"/>
  <c r="U55" i="5" s="1"/>
  <c r="AS47" i="4"/>
  <c r="AK47" i="4" s="1"/>
  <c r="AK48" i="4" s="1"/>
  <c r="Z44" i="14"/>
  <c r="U55" i="14" s="1"/>
  <c r="H43" i="14"/>
  <c r="Z43" i="11"/>
  <c r="U54" i="11" s="1"/>
  <c r="B32" i="15"/>
  <c r="M42" i="9"/>
  <c r="N9" i="5"/>
  <c r="AS48" i="10"/>
  <c r="AK48" i="10" s="1"/>
  <c r="AK49" i="10" s="1"/>
  <c r="P9" i="13"/>
  <c r="Z44" i="3"/>
  <c r="U55" i="3" s="1"/>
  <c r="AK48" i="6"/>
  <c r="AH50" i="6" s="1"/>
  <c r="AS48" i="7"/>
  <c r="AK48" i="7" s="1"/>
  <c r="Z44" i="7" s="1"/>
  <c r="U55" i="7" s="1"/>
  <c r="O9" i="9"/>
  <c r="H43" i="12"/>
  <c r="P9" i="9"/>
  <c r="H43" i="7"/>
  <c r="H42" i="11"/>
  <c r="H43" i="9"/>
  <c r="B29" i="15"/>
  <c r="E29" i="15"/>
  <c r="H42" i="6"/>
  <c r="H43" i="3"/>
  <c r="H45" i="3" s="1"/>
  <c r="H38" i="4" s="1"/>
  <c r="AV11" i="7"/>
  <c r="AW11" i="7"/>
  <c r="AH50" i="11"/>
  <c r="AH43" i="11"/>
  <c r="AH42" i="11"/>
  <c r="AK42" i="11"/>
  <c r="O9" i="11"/>
  <c r="AW11" i="8"/>
  <c r="AV11" i="8"/>
  <c r="AW10" i="10"/>
  <c r="AV10" i="10"/>
  <c r="AH45" i="14"/>
  <c r="AH51" i="14"/>
  <c r="AH44" i="14"/>
  <c r="AK44" i="14"/>
  <c r="M11" i="13"/>
  <c r="O10" i="13"/>
  <c r="P10" i="13"/>
  <c r="AH43" i="13"/>
  <c r="AH42" i="13"/>
  <c r="AH50" i="13"/>
  <c r="AK42" i="13"/>
  <c r="P10" i="9"/>
  <c r="O10" i="9"/>
  <c r="M11" i="9"/>
  <c r="AH51" i="5"/>
  <c r="AH43" i="5"/>
  <c r="AH44" i="5"/>
  <c r="AK43" i="5"/>
  <c r="AV10" i="5"/>
  <c r="AW10" i="5"/>
  <c r="AV10" i="12"/>
  <c r="AX13" i="12"/>
  <c r="AW10" i="12"/>
  <c r="N11" i="3"/>
  <c r="AW11" i="9"/>
  <c r="AV11" i="9"/>
  <c r="N11" i="9" s="1"/>
  <c r="AH51" i="3"/>
  <c r="AH43" i="3"/>
  <c r="AH44" i="3"/>
  <c r="AK43" i="3"/>
  <c r="AD43" i="10"/>
  <c r="AV10" i="11"/>
  <c r="N10" i="11" s="1"/>
  <c r="P10" i="11" s="1"/>
  <c r="AW10" i="11"/>
  <c r="O9" i="3"/>
  <c r="P9" i="3"/>
  <c r="M10" i="3"/>
  <c r="M11" i="3" s="1"/>
  <c r="AV10" i="14"/>
  <c r="AW10" i="14"/>
  <c r="AV10" i="4"/>
  <c r="AW10" i="4"/>
  <c r="M11" i="11"/>
  <c r="AV11" i="13"/>
  <c r="N11" i="13" s="1"/>
  <c r="AW11" i="13"/>
  <c r="AX15" i="10" l="1"/>
  <c r="AX16" i="10" s="1"/>
  <c r="AX17" i="10" s="1"/>
  <c r="AX14" i="13"/>
  <c r="AX15" i="13" s="1"/>
  <c r="AX16" i="13" s="1"/>
  <c r="H43" i="4"/>
  <c r="H40" i="5" s="1"/>
  <c r="H45" i="5" s="1"/>
  <c r="H39" i="6" s="1"/>
  <c r="H44" i="6" s="1"/>
  <c r="H40" i="7" s="1"/>
  <c r="H45" i="7" s="1"/>
  <c r="H39" i="8" s="1"/>
  <c r="H44" i="8" s="1"/>
  <c r="H40" i="9" s="1"/>
  <c r="H45" i="9" s="1"/>
  <c r="H40" i="10" s="1"/>
  <c r="H45" i="10" s="1"/>
  <c r="H39" i="11" s="1"/>
  <c r="H44" i="11" s="1"/>
  <c r="H40" i="12" s="1"/>
  <c r="H45" i="12" s="1"/>
  <c r="H39" i="13" s="1"/>
  <c r="H44" i="13" s="1"/>
  <c r="H40" i="14" s="1"/>
  <c r="H45" i="14" s="1"/>
  <c r="AK42" i="8"/>
  <c r="AK51" i="8" s="1"/>
  <c r="U44" i="8" s="1"/>
  <c r="AH42" i="8"/>
  <c r="AH43" i="8"/>
  <c r="AH43" i="12"/>
  <c r="AH51" i="12"/>
  <c r="AK43" i="12"/>
  <c r="U42" i="12" s="1"/>
  <c r="AK49" i="9"/>
  <c r="Z44" i="9"/>
  <c r="U55" i="9" s="1"/>
  <c r="AH43" i="6"/>
  <c r="AH42" i="6"/>
  <c r="Z42" i="4"/>
  <c r="U53" i="4" s="1"/>
  <c r="N10" i="5"/>
  <c r="Z44" i="10"/>
  <c r="U55" i="10" s="1"/>
  <c r="I28" i="15"/>
  <c r="AK42" i="6"/>
  <c r="AK51" i="6" s="1"/>
  <c r="U43" i="6" s="1"/>
  <c r="I34" i="15"/>
  <c r="AK49" i="7"/>
  <c r="AH51" i="7" s="1"/>
  <c r="O10" i="11"/>
  <c r="I36" i="15"/>
  <c r="AH43" i="10"/>
  <c r="AH44" i="10"/>
  <c r="AH51" i="10"/>
  <c r="AK43" i="10"/>
  <c r="AV11" i="14"/>
  <c r="AW11" i="14"/>
  <c r="AK53" i="8"/>
  <c r="U52" i="8" s="1"/>
  <c r="AK50" i="8"/>
  <c r="U43" i="8" s="1"/>
  <c r="U41" i="8"/>
  <c r="AK55" i="3"/>
  <c r="U54" i="3" s="1"/>
  <c r="AK51" i="3"/>
  <c r="U44" i="3" s="1"/>
  <c r="AK54" i="3"/>
  <c r="U53" i="3" s="1"/>
  <c r="AK52" i="3"/>
  <c r="U45" i="3" s="1"/>
  <c r="U42" i="3"/>
  <c r="P11" i="9"/>
  <c r="M12" i="9"/>
  <c r="O11" i="9"/>
  <c r="AW12" i="8"/>
  <c r="AV12" i="8"/>
  <c r="AV11" i="12"/>
  <c r="AW11" i="12"/>
  <c r="AK51" i="11"/>
  <c r="U44" i="11" s="1"/>
  <c r="AK54" i="11"/>
  <c r="U53" i="11" s="1"/>
  <c r="AK53" i="11"/>
  <c r="U52" i="11" s="1"/>
  <c r="AK50" i="11"/>
  <c r="U43" i="11" s="1"/>
  <c r="U41" i="11"/>
  <c r="AH49" i="4"/>
  <c r="AH42" i="4"/>
  <c r="AH41" i="4"/>
  <c r="AK41" i="4"/>
  <c r="P10" i="3"/>
  <c r="O10" i="3"/>
  <c r="I26" i="15"/>
  <c r="AV11" i="4"/>
  <c r="AW11" i="4"/>
  <c r="AW11" i="5"/>
  <c r="AV11" i="5"/>
  <c r="AV11" i="11"/>
  <c r="N11" i="11" s="1"/>
  <c r="P11" i="11" s="1"/>
  <c r="AW11" i="11"/>
  <c r="AK54" i="5"/>
  <c r="U53" i="5" s="1"/>
  <c r="AK51" i="5"/>
  <c r="U44" i="5" s="1"/>
  <c r="AK52" i="5"/>
  <c r="U45" i="5" s="1"/>
  <c r="AK55" i="5"/>
  <c r="U54" i="5" s="1"/>
  <c r="U42" i="5"/>
  <c r="AK51" i="14"/>
  <c r="U44" i="14" s="1"/>
  <c r="AK52" i="14"/>
  <c r="U45" i="14" s="1"/>
  <c r="AK54" i="14"/>
  <c r="U53" i="14" s="1"/>
  <c r="AK55" i="14"/>
  <c r="U54" i="14" s="1"/>
  <c r="U42" i="14"/>
  <c r="N12" i="3"/>
  <c r="O11" i="13"/>
  <c r="P11" i="13"/>
  <c r="M12" i="13"/>
  <c r="AK50" i="13"/>
  <c r="U43" i="13" s="1"/>
  <c r="AK53" i="13"/>
  <c r="U52" i="13" s="1"/>
  <c r="AK54" i="13"/>
  <c r="U53" i="13" s="1"/>
  <c r="AK51" i="13"/>
  <c r="U44" i="13" s="1"/>
  <c r="U41" i="13"/>
  <c r="AW12" i="9"/>
  <c r="AV12" i="9"/>
  <c r="N12" i="9" s="1"/>
  <c r="AV12" i="13"/>
  <c r="N12" i="13" s="1"/>
  <c r="AW12" i="13"/>
  <c r="M12" i="11"/>
  <c r="AW11" i="10"/>
  <c r="AV11" i="10"/>
  <c r="AV12" i="7"/>
  <c r="AW12" i="7"/>
  <c r="AK54" i="8" l="1"/>
  <c r="U53" i="8" s="1"/>
  <c r="AX15" i="12"/>
  <c r="AH44" i="7"/>
  <c r="AH43" i="7"/>
  <c r="AK51" i="12"/>
  <c r="U44" i="12" s="1"/>
  <c r="AK54" i="12"/>
  <c r="U53" i="12" s="1"/>
  <c r="AK55" i="12"/>
  <c r="U54" i="12" s="1"/>
  <c r="AK52" i="12"/>
  <c r="U45" i="12" s="1"/>
  <c r="AK43" i="7"/>
  <c r="U42" i="7" s="1"/>
  <c r="AK43" i="9"/>
  <c r="AH43" i="9"/>
  <c r="AH44" i="9"/>
  <c r="AH51" i="9"/>
  <c r="AK55" i="6"/>
  <c r="U53" i="6" s="1"/>
  <c r="AK52" i="6"/>
  <c r="U44" i="6" s="1"/>
  <c r="AK54" i="6"/>
  <c r="U52" i="6" s="1"/>
  <c r="U41" i="6"/>
  <c r="N11" i="5"/>
  <c r="K28" i="15"/>
  <c r="M28" i="15" s="1"/>
  <c r="O11" i="11"/>
  <c r="AV12" i="11"/>
  <c r="N12" i="11" s="1"/>
  <c r="P12" i="11" s="1"/>
  <c r="AX15" i="11"/>
  <c r="AW12" i="11"/>
  <c r="K36" i="15"/>
  <c r="M36" i="15" s="1"/>
  <c r="AV12" i="5"/>
  <c r="AW12" i="5"/>
  <c r="AW13" i="8"/>
  <c r="AV13" i="8"/>
  <c r="AX16" i="8"/>
  <c r="M12" i="3"/>
  <c r="O11" i="3"/>
  <c r="P11" i="3"/>
  <c r="AV12" i="10"/>
  <c r="AW12" i="10"/>
  <c r="AK50" i="4"/>
  <c r="U43" i="4" s="1"/>
  <c r="AK53" i="4"/>
  <c r="U52" i="4" s="1"/>
  <c r="AK52" i="4"/>
  <c r="U51" i="4" s="1"/>
  <c r="AK49" i="4"/>
  <c r="U42" i="4" s="1"/>
  <c r="U40" i="4"/>
  <c r="AV13" i="13"/>
  <c r="N13" i="13" s="1"/>
  <c r="AW13" i="13"/>
  <c r="N13" i="3"/>
  <c r="AW13" i="9"/>
  <c r="AV13" i="9"/>
  <c r="N13" i="9" s="1"/>
  <c r="AV12" i="4"/>
  <c r="AW12" i="4"/>
  <c r="P12" i="9"/>
  <c r="M13" i="9"/>
  <c r="O12" i="9"/>
  <c r="AV12" i="14"/>
  <c r="AX15" i="14"/>
  <c r="AW12" i="14"/>
  <c r="O12" i="13"/>
  <c r="P12" i="13"/>
  <c r="M13" i="13"/>
  <c r="AV12" i="12"/>
  <c r="AW12" i="12"/>
  <c r="AV13" i="7"/>
  <c r="AW13" i="7"/>
  <c r="M13" i="11"/>
  <c r="K34" i="15"/>
  <c r="M34" i="15" s="1"/>
  <c r="K26" i="15"/>
  <c r="M26" i="15" s="1"/>
  <c r="AK51" i="10"/>
  <c r="U44" i="10" s="1"/>
  <c r="AK52" i="10"/>
  <c r="U45" i="10" s="1"/>
  <c r="AK54" i="10"/>
  <c r="U53" i="10" s="1"/>
  <c r="AK55" i="10"/>
  <c r="U54" i="10" s="1"/>
  <c r="U42" i="10"/>
  <c r="I30" i="15" l="1"/>
  <c r="AX17" i="12"/>
  <c r="AX18" i="12" s="1"/>
  <c r="AX19" i="12" s="1"/>
  <c r="AK52" i="7"/>
  <c r="U45" i="7" s="1"/>
  <c r="AK51" i="7"/>
  <c r="U44" i="7" s="1"/>
  <c r="AK54" i="7"/>
  <c r="U53" i="7" s="1"/>
  <c r="AK55" i="7"/>
  <c r="U54" i="7" s="1"/>
  <c r="I32" i="15"/>
  <c r="AK55" i="9"/>
  <c r="U54" i="9" s="1"/>
  <c r="AK51" i="9"/>
  <c r="U44" i="9" s="1"/>
  <c r="AK54" i="9"/>
  <c r="U53" i="9" s="1"/>
  <c r="U42" i="9"/>
  <c r="AK52" i="9"/>
  <c r="U45" i="9" s="1"/>
  <c r="N12" i="5"/>
  <c r="O12" i="11"/>
  <c r="N26" i="15"/>
  <c r="M14" i="13"/>
  <c r="O13" i="13"/>
  <c r="P13" i="13"/>
  <c r="AV14" i="7"/>
  <c r="AW14" i="7"/>
  <c r="N14" i="3"/>
  <c r="AW13" i="14"/>
  <c r="AV13" i="14"/>
  <c r="AV13" i="4"/>
  <c r="AW13" i="4"/>
  <c r="AV13" i="10"/>
  <c r="AW13" i="10"/>
  <c r="AV13" i="5"/>
  <c r="AW13" i="5"/>
  <c r="AV13" i="12"/>
  <c r="AW13" i="12"/>
  <c r="AV14" i="6"/>
  <c r="M14" i="11"/>
  <c r="P13" i="9"/>
  <c r="O13" i="9"/>
  <c r="M14" i="9"/>
  <c r="AV14" i="13"/>
  <c r="N14" i="13" s="1"/>
  <c r="AX17" i="13"/>
  <c r="AX18" i="13" s="1"/>
  <c r="AW14" i="13"/>
  <c r="AV14" i="8"/>
  <c r="AW14" i="8"/>
  <c r="AV14" i="9"/>
  <c r="N14" i="9" s="1"/>
  <c r="AW14" i="9"/>
  <c r="AV13" i="11"/>
  <c r="N13" i="11" s="1"/>
  <c r="O13" i="11" s="1"/>
  <c r="AW13" i="11"/>
  <c r="O12" i="3"/>
  <c r="P12" i="3"/>
  <c r="M13" i="3"/>
  <c r="AX17" i="11" l="1"/>
  <c r="AX19" i="11" s="1"/>
  <c r="AX20" i="11" s="1"/>
  <c r="AX21" i="11" s="1"/>
  <c r="AX22" i="11" s="1"/>
  <c r="AX18" i="8"/>
  <c r="K30" i="15"/>
  <c r="M30" i="15" s="1"/>
  <c r="K32" i="15"/>
  <c r="M32" i="15" s="1"/>
  <c r="N13" i="5"/>
  <c r="AW15" i="8"/>
  <c r="AV15" i="8"/>
  <c r="AW14" i="10"/>
  <c r="AV14" i="10"/>
  <c r="N15" i="3"/>
  <c r="AV15" i="6"/>
  <c r="AW14" i="6"/>
  <c r="AV14" i="5"/>
  <c r="AW14" i="5"/>
  <c r="AV15" i="7"/>
  <c r="AW15" i="7"/>
  <c r="AV15" i="13"/>
  <c r="N15" i="13" s="1"/>
  <c r="AW15" i="13"/>
  <c r="AV15" i="9"/>
  <c r="N15" i="9" s="1"/>
  <c r="AW15" i="9"/>
  <c r="P13" i="11"/>
  <c r="AV14" i="11"/>
  <c r="N14" i="11" s="1"/>
  <c r="P14" i="11" s="1"/>
  <c r="AW14" i="11"/>
  <c r="P14" i="9"/>
  <c r="M15" i="9"/>
  <c r="O14" i="9"/>
  <c r="M15" i="11"/>
  <c r="AV14" i="12"/>
  <c r="AW14" i="12"/>
  <c r="O13" i="3"/>
  <c r="P13" i="3"/>
  <c r="M14" i="3"/>
  <c r="AV14" i="4"/>
  <c r="AW14" i="4"/>
  <c r="AV14" i="14"/>
  <c r="AW14" i="14"/>
  <c r="M15" i="13"/>
  <c r="O14" i="13"/>
  <c r="P14" i="13"/>
  <c r="AX17" i="14" l="1"/>
  <c r="AX24" i="11"/>
  <c r="AX20" i="8"/>
  <c r="AX21" i="8" s="1"/>
  <c r="AX22" i="8" s="1"/>
  <c r="AX19" i="13"/>
  <c r="N14" i="5"/>
  <c r="O14" i="11"/>
  <c r="AV15" i="11"/>
  <c r="N15" i="11" s="1"/>
  <c r="O15" i="11" s="1"/>
  <c r="AW15" i="11"/>
  <c r="O15" i="13"/>
  <c r="P15" i="13"/>
  <c r="M16" i="13"/>
  <c r="N16" i="3"/>
  <c r="AV16" i="7"/>
  <c r="AW16" i="7"/>
  <c r="AV16" i="9"/>
  <c r="N16" i="9" s="1"/>
  <c r="AW16" i="9"/>
  <c r="M16" i="11"/>
  <c r="AW15" i="5"/>
  <c r="AV15" i="5"/>
  <c r="AV15" i="14"/>
  <c r="AW15" i="14"/>
  <c r="AV15" i="4"/>
  <c r="AX19" i="4"/>
  <c r="AX21" i="4" s="1"/>
  <c r="AX22" i="4" s="1"/>
  <c r="AW15" i="4"/>
  <c r="O15" i="9"/>
  <c r="P15" i="9"/>
  <c r="M16" i="9"/>
  <c r="AV16" i="13"/>
  <c r="N16" i="13" s="1"/>
  <c r="AW16" i="13"/>
  <c r="AW15" i="10"/>
  <c r="AV15" i="10"/>
  <c r="AX18" i="10"/>
  <c r="AW15" i="6"/>
  <c r="AV16" i="6"/>
  <c r="P14" i="3"/>
  <c r="M15" i="3"/>
  <c r="O14" i="3"/>
  <c r="AV15" i="12"/>
  <c r="AW15" i="12"/>
  <c r="AV16" i="8"/>
  <c r="AW16" i="8"/>
  <c r="AX19" i="14" l="1"/>
  <c r="AX20" i="14" s="1"/>
  <c r="AX21" i="14" s="1"/>
  <c r="AX26" i="11"/>
  <c r="AX27" i="11" s="1"/>
  <c r="AX28" i="11" s="1"/>
  <c r="AX29" i="11" s="1"/>
  <c r="AX31" i="11" s="1"/>
  <c r="AX21" i="13"/>
  <c r="AX22" i="13" s="1"/>
  <c r="AX23" i="13" s="1"/>
  <c r="AX23" i="4"/>
  <c r="N15" i="5"/>
  <c r="P15" i="11"/>
  <c r="M16" i="3"/>
  <c r="O15" i="3"/>
  <c r="P15" i="3"/>
  <c r="O16" i="9"/>
  <c r="P16" i="9"/>
  <c r="M17" i="9"/>
  <c r="M17" i="11"/>
  <c r="N17" i="3"/>
  <c r="AV17" i="7"/>
  <c r="AW17" i="7"/>
  <c r="AV16" i="10"/>
  <c r="AW16" i="10"/>
  <c r="AV16" i="4"/>
  <c r="AW16" i="4"/>
  <c r="AV17" i="13"/>
  <c r="N17" i="13" s="1"/>
  <c r="AW17" i="13"/>
  <c r="AV16" i="5"/>
  <c r="AW16" i="5"/>
  <c r="AV17" i="9"/>
  <c r="N17" i="9" s="1"/>
  <c r="AW17" i="9"/>
  <c r="AW16" i="6"/>
  <c r="AV17" i="6"/>
  <c r="AV16" i="12"/>
  <c r="AW16" i="12"/>
  <c r="AV16" i="14"/>
  <c r="AW16" i="14"/>
  <c r="AV16" i="11"/>
  <c r="N16" i="11" s="1"/>
  <c r="O16" i="11" s="1"/>
  <c r="AW16" i="11"/>
  <c r="AW17" i="8"/>
  <c r="AV17" i="8"/>
  <c r="O16" i="13"/>
  <c r="P16" i="13"/>
  <c r="M17" i="13"/>
  <c r="AX33" i="11" l="1"/>
  <c r="AX34" i="11" s="1"/>
  <c r="AX35" i="11" s="1"/>
  <c r="AX36" i="11" s="1"/>
  <c r="AX20" i="10"/>
  <c r="N16" i="5"/>
  <c r="AV18" i="6"/>
  <c r="AW17" i="6"/>
  <c r="AV17" i="11"/>
  <c r="N17" i="11" s="1"/>
  <c r="O17" i="11" s="1"/>
  <c r="AW17" i="11"/>
  <c r="M18" i="11"/>
  <c r="AV18" i="8"/>
  <c r="AW18" i="8"/>
  <c r="M18" i="13"/>
  <c r="O17" i="13"/>
  <c r="P17" i="13"/>
  <c r="AV17" i="14"/>
  <c r="AW17" i="14"/>
  <c r="AV18" i="13"/>
  <c r="N18" i="13" s="1"/>
  <c r="AW18" i="13"/>
  <c r="P16" i="11"/>
  <c r="AV18" i="9"/>
  <c r="N18" i="9" s="1"/>
  <c r="AX21" i="9"/>
  <c r="AW18" i="9"/>
  <c r="AV17" i="4"/>
  <c r="AW17" i="4"/>
  <c r="AV18" i="7"/>
  <c r="AW18" i="7"/>
  <c r="AV17" i="12"/>
  <c r="AX20" i="12"/>
  <c r="AW17" i="12"/>
  <c r="AV17" i="5"/>
  <c r="AW17" i="5"/>
  <c r="AV17" i="10"/>
  <c r="AW17" i="10"/>
  <c r="M18" i="9"/>
  <c r="O17" i="9"/>
  <c r="P17" i="9"/>
  <c r="N18" i="3"/>
  <c r="O16" i="3"/>
  <c r="M17" i="3"/>
  <c r="P16" i="3"/>
  <c r="AX22" i="10" l="1"/>
  <c r="AX23" i="10" s="1"/>
  <c r="AX24" i="10" s="1"/>
  <c r="N17" i="5"/>
  <c r="P17" i="11"/>
  <c r="AV19" i="7"/>
  <c r="AW19" i="7"/>
  <c r="AV18" i="12"/>
  <c r="AW18" i="12"/>
  <c r="O17" i="3"/>
  <c r="P17" i="3"/>
  <c r="M18" i="3"/>
  <c r="M19" i="9"/>
  <c r="O18" i="9"/>
  <c r="P18" i="9"/>
  <c r="AV18" i="5"/>
  <c r="AW18" i="5"/>
  <c r="AV19" i="9"/>
  <c r="N19" i="9" s="1"/>
  <c r="AW19" i="9"/>
  <c r="AV18" i="11"/>
  <c r="N18" i="11" s="1"/>
  <c r="P18" i="11" s="1"/>
  <c r="AW18" i="11"/>
  <c r="AW18" i="10"/>
  <c r="AV18" i="10"/>
  <c r="AV19" i="13"/>
  <c r="N19" i="13" s="1"/>
  <c r="AW19" i="13"/>
  <c r="M19" i="13"/>
  <c r="O18" i="13"/>
  <c r="P18" i="13"/>
  <c r="M19" i="11"/>
  <c r="N19" i="3"/>
  <c r="AW19" i="8"/>
  <c r="AV19" i="8"/>
  <c r="AW18" i="6"/>
  <c r="AV19" i="6"/>
  <c r="AV18" i="4"/>
  <c r="AW18" i="4"/>
  <c r="AV18" i="14"/>
  <c r="AW18" i="14"/>
  <c r="AX22" i="12" l="1"/>
  <c r="AX23" i="9"/>
  <c r="N18" i="5"/>
  <c r="O18" i="11"/>
  <c r="M20" i="11"/>
  <c r="AW19" i="10"/>
  <c r="AV19" i="10"/>
  <c r="AV20" i="8"/>
  <c r="AX23" i="8"/>
  <c r="AW20" i="8"/>
  <c r="AW19" i="5"/>
  <c r="AV19" i="5"/>
  <c r="AV20" i="9"/>
  <c r="N20" i="9" s="1"/>
  <c r="AW20" i="9"/>
  <c r="AV19" i="12"/>
  <c r="AW19" i="12"/>
  <c r="AW19" i="6"/>
  <c r="AV20" i="6"/>
  <c r="O19" i="13"/>
  <c r="P19" i="13"/>
  <c r="M20" i="13"/>
  <c r="AV19" i="11"/>
  <c r="N19" i="11" s="1"/>
  <c r="O19" i="11" s="1"/>
  <c r="AW19" i="11"/>
  <c r="AV19" i="14"/>
  <c r="AX22" i="14"/>
  <c r="AW19" i="14"/>
  <c r="AV20" i="13"/>
  <c r="N20" i="13" s="1"/>
  <c r="AW20" i="13"/>
  <c r="O19" i="9"/>
  <c r="P19" i="9"/>
  <c r="M20" i="9"/>
  <c r="AV20" i="7"/>
  <c r="AW20" i="7"/>
  <c r="N20" i="3"/>
  <c r="AV19" i="4"/>
  <c r="AW19" i="4"/>
  <c r="M19" i="3"/>
  <c r="O18" i="3"/>
  <c r="P18" i="3"/>
  <c r="AX24" i="12" l="1"/>
  <c r="AX25" i="12" s="1"/>
  <c r="AX26" i="12" s="1"/>
  <c r="AX25" i="9"/>
  <c r="AX26" i="9" s="1"/>
  <c r="AX27" i="9" s="1"/>
  <c r="N19" i="5"/>
  <c r="AV21" i="13"/>
  <c r="N21" i="13" s="1"/>
  <c r="AX24" i="13"/>
  <c r="AW21" i="13"/>
  <c r="AV20" i="12"/>
  <c r="AW20" i="12"/>
  <c r="AV20" i="10"/>
  <c r="AW20" i="10"/>
  <c r="AV20" i="11"/>
  <c r="N20" i="11" s="1"/>
  <c r="O20" i="11" s="1"/>
  <c r="AW20" i="11"/>
  <c r="O20" i="13"/>
  <c r="P20" i="13"/>
  <c r="M21" i="13"/>
  <c r="AV21" i="8"/>
  <c r="AW21" i="8"/>
  <c r="P19" i="11"/>
  <c r="M20" i="3"/>
  <c r="O19" i="3"/>
  <c r="P19" i="3"/>
  <c r="O20" i="9"/>
  <c r="P20" i="9"/>
  <c r="M21" i="9"/>
  <c r="AV21" i="9"/>
  <c r="N21" i="9" s="1"/>
  <c r="AW21" i="9"/>
  <c r="AV20" i="4"/>
  <c r="AW20" i="4"/>
  <c r="AW20" i="6"/>
  <c r="AV21" i="6"/>
  <c r="M21" i="11"/>
  <c r="AV21" i="7"/>
  <c r="AW21" i="7"/>
  <c r="AV20" i="5"/>
  <c r="AW20" i="5"/>
  <c r="AV20" i="14"/>
  <c r="AW20" i="14"/>
  <c r="N21" i="3"/>
  <c r="AX25" i="8" l="1"/>
  <c r="N20" i="5"/>
  <c r="P20" i="11"/>
  <c r="AV21" i="5"/>
  <c r="AW21" i="5"/>
  <c r="O20" i="3"/>
  <c r="M21" i="3"/>
  <c r="P20" i="3"/>
  <c r="N22" i="3"/>
  <c r="M22" i="13"/>
  <c r="O21" i="13"/>
  <c r="P21" i="13"/>
  <c r="M22" i="11"/>
  <c r="AV21" i="4"/>
  <c r="AX24" i="4"/>
  <c r="AW21" i="4"/>
  <c r="M22" i="9"/>
  <c r="O21" i="9"/>
  <c r="P21" i="9"/>
  <c r="AV21" i="10"/>
  <c r="AW21" i="10"/>
  <c r="AV22" i="7"/>
  <c r="AW22" i="7"/>
  <c r="AV22" i="6"/>
  <c r="AW21" i="6"/>
  <c r="AV21" i="11"/>
  <c r="N21" i="11" s="1"/>
  <c r="O21" i="11" s="1"/>
  <c r="AW21" i="11"/>
  <c r="AV22" i="13"/>
  <c r="N22" i="13" s="1"/>
  <c r="AW22" i="13"/>
  <c r="AV21" i="14"/>
  <c r="AW21" i="14"/>
  <c r="AV22" i="9"/>
  <c r="N22" i="9" s="1"/>
  <c r="AW22" i="9"/>
  <c r="AV22" i="8"/>
  <c r="AW22" i="8"/>
  <c r="AV21" i="12"/>
  <c r="AW21" i="12"/>
  <c r="AX24" i="14" l="1"/>
  <c r="AX27" i="8"/>
  <c r="AX28" i="8" s="1"/>
  <c r="AX29" i="8" s="1"/>
  <c r="AX26" i="13"/>
  <c r="N21" i="5"/>
  <c r="AW22" i="6"/>
  <c r="AV23" i="6"/>
  <c r="AV22" i="11"/>
  <c r="N22" i="11" s="1"/>
  <c r="P22" i="11" s="1"/>
  <c r="AW22" i="11"/>
  <c r="AV23" i="9"/>
  <c r="N23" i="9" s="1"/>
  <c r="AW23" i="9"/>
  <c r="P21" i="11"/>
  <c r="AV23" i="13"/>
  <c r="N23" i="13" s="1"/>
  <c r="AW23" i="13"/>
  <c r="M23" i="11"/>
  <c r="N23" i="3"/>
  <c r="AV23" i="7"/>
  <c r="AW23" i="7"/>
  <c r="AV22" i="5"/>
  <c r="AW22" i="5"/>
  <c r="M23" i="9"/>
  <c r="O22" i="9"/>
  <c r="P22" i="9"/>
  <c r="AW22" i="10"/>
  <c r="AV22" i="10"/>
  <c r="AX25" i="10"/>
  <c r="M23" i="13"/>
  <c r="O22" i="13"/>
  <c r="P22" i="13"/>
  <c r="O21" i="3"/>
  <c r="P21" i="3"/>
  <c r="M22" i="3"/>
  <c r="AW23" i="8"/>
  <c r="AV23" i="8"/>
  <c r="AV22" i="12"/>
  <c r="AW22" i="12"/>
  <c r="AV22" i="14"/>
  <c r="AW22" i="14"/>
  <c r="AV22" i="4"/>
  <c r="AX26" i="4"/>
  <c r="AX28" i="4" s="1"/>
  <c r="AX29" i="4" s="1"/>
  <c r="AW22" i="4"/>
  <c r="AX26" i="14" l="1"/>
  <c r="AX27" i="14" s="1"/>
  <c r="AX28" i="14" s="1"/>
  <c r="AX28" i="13"/>
  <c r="AX29" i="13" s="1"/>
  <c r="AX30" i="13" s="1"/>
  <c r="AX30" i="4"/>
  <c r="N22" i="5"/>
  <c r="O22" i="11"/>
  <c r="N24" i="3"/>
  <c r="AV23" i="12"/>
  <c r="AW23" i="12"/>
  <c r="AV23" i="4"/>
  <c r="AW23" i="4"/>
  <c r="AV24" i="9"/>
  <c r="N24" i="9" s="1"/>
  <c r="AW24" i="9"/>
  <c r="AW23" i="5"/>
  <c r="AV23" i="5"/>
  <c r="AV24" i="8"/>
  <c r="AW24" i="8"/>
  <c r="O23" i="13"/>
  <c r="P23" i="13"/>
  <c r="M24" i="13"/>
  <c r="AV24" i="6"/>
  <c r="AW23" i="6"/>
  <c r="AW23" i="10"/>
  <c r="AV23" i="10"/>
  <c r="O23" i="9"/>
  <c r="P23" i="9"/>
  <c r="M24" i="9"/>
  <c r="M24" i="11"/>
  <c r="AV23" i="11"/>
  <c r="N23" i="11" s="1"/>
  <c r="O23" i="11" s="1"/>
  <c r="AW23" i="11"/>
  <c r="AV24" i="7"/>
  <c r="AW24" i="7"/>
  <c r="AV23" i="14"/>
  <c r="AW23" i="14"/>
  <c r="O22" i="3"/>
  <c r="P22" i="3"/>
  <c r="M23" i="3"/>
  <c r="AV24" i="13"/>
  <c r="N24" i="13" s="1"/>
  <c r="AW24" i="13"/>
  <c r="AX27" i="10" l="1"/>
  <c r="N23" i="5"/>
  <c r="AV25" i="6"/>
  <c r="AW24" i="6"/>
  <c r="P23" i="11"/>
  <c r="AV25" i="8"/>
  <c r="AW25" i="8"/>
  <c r="M25" i="11"/>
  <c r="AV24" i="4"/>
  <c r="AW24" i="4"/>
  <c r="AV24" i="11"/>
  <c r="N24" i="11" s="1"/>
  <c r="O24" i="11" s="1"/>
  <c r="AW24" i="11"/>
  <c r="O24" i="9"/>
  <c r="P24" i="9"/>
  <c r="M25" i="9"/>
  <c r="AV24" i="12"/>
  <c r="AX27" i="12"/>
  <c r="AW24" i="12"/>
  <c r="AV24" i="5"/>
  <c r="AW24" i="5"/>
  <c r="AV25" i="9"/>
  <c r="N25" i="9" s="1"/>
  <c r="AX28" i="9"/>
  <c r="AX29" i="9" s="1"/>
  <c r="AW25" i="9"/>
  <c r="M24" i="3"/>
  <c r="P23" i="3"/>
  <c r="O23" i="3"/>
  <c r="AV25" i="7"/>
  <c r="AW25" i="7"/>
  <c r="O24" i="13"/>
  <c r="P24" i="13"/>
  <c r="M25" i="13"/>
  <c r="AV24" i="10"/>
  <c r="AW24" i="10"/>
  <c r="N25" i="3"/>
  <c r="AV25" i="13"/>
  <c r="N25" i="13" s="1"/>
  <c r="AW25" i="13"/>
  <c r="AV24" i="14"/>
  <c r="AW24" i="14"/>
  <c r="AX29" i="10" l="1"/>
  <c r="AX30" i="10" s="1"/>
  <c r="AX31" i="10" s="1"/>
  <c r="N24" i="5"/>
  <c r="P24" i="11"/>
  <c r="AV25" i="14"/>
  <c r="AW25" i="14"/>
  <c r="AV25" i="10"/>
  <c r="AW25" i="10"/>
  <c r="AV26" i="9"/>
  <c r="N26" i="9" s="1"/>
  <c r="AW26" i="9"/>
  <c r="AV26" i="8"/>
  <c r="AW26" i="8"/>
  <c r="AV26" i="13"/>
  <c r="N26" i="13" s="1"/>
  <c r="AW26" i="13"/>
  <c r="M26" i="9"/>
  <c r="O25" i="9"/>
  <c r="P25" i="9"/>
  <c r="AV26" i="7"/>
  <c r="AW26" i="7"/>
  <c r="AV25" i="5"/>
  <c r="AW25" i="5"/>
  <c r="M26" i="11"/>
  <c r="AV25" i="4"/>
  <c r="AW25" i="4"/>
  <c r="N26" i="3"/>
  <c r="M26" i="13"/>
  <c r="O25" i="13"/>
  <c r="P25" i="13"/>
  <c r="O24" i="3"/>
  <c r="P24" i="3"/>
  <c r="M25" i="3"/>
  <c r="AV25" i="12"/>
  <c r="AW25" i="12"/>
  <c r="AV25" i="11"/>
  <c r="N25" i="11" s="1"/>
  <c r="O25" i="11" s="1"/>
  <c r="AW25" i="11"/>
  <c r="AV26" i="6"/>
  <c r="AW25" i="6"/>
  <c r="AX29" i="12" l="1"/>
  <c r="AX30" i="9"/>
  <c r="N25" i="5"/>
  <c r="M27" i="13"/>
  <c r="O26" i="13"/>
  <c r="P26" i="13"/>
  <c r="AV27" i="7"/>
  <c r="AW27" i="7"/>
  <c r="AV26" i="11"/>
  <c r="N26" i="11" s="1"/>
  <c r="O26" i="11" s="1"/>
  <c r="AW26" i="11"/>
  <c r="P25" i="11"/>
  <c r="N27" i="3"/>
  <c r="M27" i="11"/>
  <c r="AW26" i="6"/>
  <c r="AV27" i="6"/>
  <c r="M26" i="3"/>
  <c r="O25" i="3"/>
  <c r="P25" i="3"/>
  <c r="AV26" i="4"/>
  <c r="AW26" i="4"/>
  <c r="AW27" i="8"/>
  <c r="AV27" i="8"/>
  <c r="AX30" i="8"/>
  <c r="AV26" i="12"/>
  <c r="AW26" i="12"/>
  <c r="AV27" i="9"/>
  <c r="N27" i="9" s="1"/>
  <c r="AW27" i="9"/>
  <c r="AV26" i="5"/>
  <c r="AW26" i="5"/>
  <c r="M27" i="9"/>
  <c r="O26" i="9"/>
  <c r="P26" i="9"/>
  <c r="AV26" i="14"/>
  <c r="AX29" i="14"/>
  <c r="AW26" i="14"/>
  <c r="AV27" i="13"/>
  <c r="N27" i="13" s="1"/>
  <c r="AW27" i="13"/>
  <c r="AW26" i="10"/>
  <c r="AV26" i="10"/>
  <c r="AX31" i="12" l="1"/>
  <c r="AX32" i="12" s="1"/>
  <c r="AX33" i="12" s="1"/>
  <c r="AX32" i="9"/>
  <c r="AX33" i="9" s="1"/>
  <c r="AX34" i="9" s="1"/>
  <c r="N26" i="5"/>
  <c r="AV27" i="12"/>
  <c r="AW27" i="12"/>
  <c r="M28" i="11"/>
  <c r="N28" i="3"/>
  <c r="AV27" i="14"/>
  <c r="AW27" i="14"/>
  <c r="AV28" i="8"/>
  <c r="AW28" i="8"/>
  <c r="O26" i="3"/>
  <c r="P26" i="3"/>
  <c r="M27" i="3"/>
  <c r="O27" i="9"/>
  <c r="P27" i="9"/>
  <c r="M28" i="9"/>
  <c r="AW27" i="6"/>
  <c r="AV28" i="6"/>
  <c r="AV28" i="7"/>
  <c r="AW28" i="7"/>
  <c r="AW27" i="10"/>
  <c r="AV27" i="10"/>
  <c r="AV28" i="9"/>
  <c r="N28" i="9" s="1"/>
  <c r="AW28" i="9"/>
  <c r="AW27" i="5"/>
  <c r="AV27" i="5"/>
  <c r="AV28" i="13"/>
  <c r="N28" i="13" s="1"/>
  <c r="AX31" i="13"/>
  <c r="AW28" i="13"/>
  <c r="AV27" i="4"/>
  <c r="AW27" i="4"/>
  <c r="P26" i="11"/>
  <c r="AV27" i="11"/>
  <c r="N27" i="11" s="1"/>
  <c r="P27" i="11" s="1"/>
  <c r="AW27" i="11"/>
  <c r="O27" i="13"/>
  <c r="P27" i="13"/>
  <c r="M28" i="13"/>
  <c r="AX32" i="8" l="1"/>
  <c r="AX34" i="8" s="1"/>
  <c r="AX35" i="8" s="1"/>
  <c r="AX36" i="8" s="1"/>
  <c r="N27" i="5"/>
  <c r="O28" i="13"/>
  <c r="P28" i="13"/>
  <c r="M29" i="13"/>
  <c r="O27" i="11"/>
  <c r="AV28" i="14"/>
  <c r="AW28" i="14"/>
  <c r="M29" i="11"/>
  <c r="AV29" i="7"/>
  <c r="AW29" i="7"/>
  <c r="O27" i="3"/>
  <c r="P27" i="3"/>
  <c r="M28" i="3"/>
  <c r="AV29" i="13"/>
  <c r="N29" i="13" s="1"/>
  <c r="AW29" i="13"/>
  <c r="O28" i="9"/>
  <c r="P28" i="9"/>
  <c r="M29" i="9"/>
  <c r="AV28" i="12"/>
  <c r="AW28" i="12"/>
  <c r="AV28" i="11"/>
  <c r="N28" i="11" s="1"/>
  <c r="O28" i="11" s="1"/>
  <c r="AW28" i="11"/>
  <c r="AV29" i="9"/>
  <c r="N29" i="9" s="1"/>
  <c r="AW29" i="9"/>
  <c r="N29" i="3"/>
  <c r="AV28" i="5"/>
  <c r="AW28" i="5"/>
  <c r="AW28" i="4"/>
  <c r="AX31" i="4"/>
  <c r="AV28" i="4"/>
  <c r="AV28" i="10"/>
  <c r="AW28" i="10"/>
  <c r="AV29" i="8"/>
  <c r="AW29" i="8"/>
  <c r="AV29" i="6"/>
  <c r="AW28" i="6"/>
  <c r="AX31" i="14" l="1"/>
  <c r="AX33" i="13"/>
  <c r="N28" i="5"/>
  <c r="N30" i="3"/>
  <c r="AV29" i="14"/>
  <c r="AW29" i="14"/>
  <c r="AV30" i="13"/>
  <c r="N30" i="13" s="1"/>
  <c r="AW30" i="13"/>
  <c r="AV30" i="8"/>
  <c r="AW30" i="8"/>
  <c r="AV30" i="7"/>
  <c r="AW30" i="7"/>
  <c r="AV29" i="11"/>
  <c r="N29" i="11" s="1"/>
  <c r="P29" i="11" s="1"/>
  <c r="AW29" i="11"/>
  <c r="AV30" i="6"/>
  <c r="AW29" i="6"/>
  <c r="AV29" i="12"/>
  <c r="AW29" i="12"/>
  <c r="P28" i="11"/>
  <c r="AV29" i="10"/>
  <c r="AX32" i="10"/>
  <c r="AW29" i="10"/>
  <c r="M30" i="11"/>
  <c r="AV29" i="5"/>
  <c r="AW29" i="5"/>
  <c r="AV30" i="9"/>
  <c r="N30" i="9" s="1"/>
  <c r="AW30" i="9"/>
  <c r="M30" i="9"/>
  <c r="O29" i="9"/>
  <c r="P29" i="9"/>
  <c r="P28" i="3"/>
  <c r="M29" i="3"/>
  <c r="O28" i="3"/>
  <c r="AV29" i="4"/>
  <c r="AX33" i="4"/>
  <c r="AW29" i="4"/>
  <c r="M30" i="13"/>
  <c r="O29" i="13"/>
  <c r="P29" i="13"/>
  <c r="AX33" i="14" l="1"/>
  <c r="AX34" i="14" s="1"/>
  <c r="AX35" i="14" s="1"/>
  <c r="AX35" i="13"/>
  <c r="AX36" i="13" s="1"/>
  <c r="N29" i="5"/>
  <c r="O29" i="11"/>
  <c r="AW30" i="4"/>
  <c r="AV30" i="4"/>
  <c r="AV30" i="11"/>
  <c r="N30" i="11" s="1"/>
  <c r="O30" i="11" s="1"/>
  <c r="AW30" i="11"/>
  <c r="AV30" i="14"/>
  <c r="AW30" i="14"/>
  <c r="AV30" i="12"/>
  <c r="AW30" i="12"/>
  <c r="AW31" i="8"/>
  <c r="AV31" i="8"/>
  <c r="AV30" i="10"/>
  <c r="AW30" i="10"/>
  <c r="N31" i="3"/>
  <c r="AV31" i="9"/>
  <c r="N31" i="9" s="1"/>
  <c r="AW31" i="9"/>
  <c r="M31" i="11"/>
  <c r="AV31" i="6"/>
  <c r="AW30" i="6"/>
  <c r="AW31" i="13"/>
  <c r="AV31" i="13"/>
  <c r="N31" i="13" s="1"/>
  <c r="M30" i="3"/>
  <c r="O29" i="3"/>
  <c r="P29" i="3"/>
  <c r="O30" i="13"/>
  <c r="P30" i="13"/>
  <c r="M31" i="13"/>
  <c r="AV31" i="7"/>
  <c r="AW31" i="7"/>
  <c r="M31" i="9"/>
  <c r="O30" i="9"/>
  <c r="P30" i="9"/>
  <c r="AV30" i="5"/>
  <c r="AW30" i="5"/>
  <c r="AX34" i="10" l="1"/>
  <c r="N30" i="5"/>
  <c r="P30" i="11"/>
  <c r="AV32" i="13"/>
  <c r="N32" i="13" s="1"/>
  <c r="AW32" i="13"/>
  <c r="AV31" i="14"/>
  <c r="AW31" i="14"/>
  <c r="AV32" i="7"/>
  <c r="AW32" i="7"/>
  <c r="AV32" i="9"/>
  <c r="N32" i="9" s="1"/>
  <c r="AX35" i="9"/>
  <c r="AW32" i="9"/>
  <c r="AV32" i="8"/>
  <c r="AW32" i="8"/>
  <c r="O30" i="3"/>
  <c r="P30" i="3"/>
  <c r="M31" i="3"/>
  <c r="M32" i="11"/>
  <c r="AW31" i="5"/>
  <c r="AV31" i="5"/>
  <c r="O31" i="13"/>
  <c r="P31" i="13"/>
  <c r="M32" i="13"/>
  <c r="AV31" i="11"/>
  <c r="N31" i="11" s="1"/>
  <c r="O31" i="11" s="1"/>
  <c r="AW31" i="11"/>
  <c r="AW31" i="6"/>
  <c r="AV32" i="6"/>
  <c r="AV31" i="12"/>
  <c r="AX34" i="12"/>
  <c r="AW31" i="12"/>
  <c r="N32" i="3"/>
  <c r="AV31" i="4"/>
  <c r="AW31" i="4"/>
  <c r="O31" i="9"/>
  <c r="P31" i="9"/>
  <c r="M32" i="9"/>
  <c r="AV31" i="10"/>
  <c r="AW31" i="10"/>
  <c r="AX36" i="10" l="1"/>
  <c r="AX37" i="10" s="1"/>
  <c r="N31" i="5"/>
  <c r="P31" i="11"/>
  <c r="AV32" i="14"/>
  <c r="AW32" i="14"/>
  <c r="AV32" i="10"/>
  <c r="AW32" i="10"/>
  <c r="O31" i="3"/>
  <c r="P31" i="3"/>
  <c r="M32" i="3"/>
  <c r="AV32" i="4"/>
  <c r="AW32" i="4"/>
  <c r="AV33" i="9"/>
  <c r="N33" i="9" s="1"/>
  <c r="AX37" i="9"/>
  <c r="AW33" i="9"/>
  <c r="P32" i="13"/>
  <c r="O32" i="13"/>
  <c r="M33" i="13"/>
  <c r="AV32" i="12"/>
  <c r="AW32" i="12"/>
  <c r="AV33" i="6"/>
  <c r="AW32" i="6"/>
  <c r="O32" i="9"/>
  <c r="P32" i="9"/>
  <c r="M33" i="9"/>
  <c r="AV33" i="7"/>
  <c r="AW33" i="7"/>
  <c r="N33" i="3"/>
  <c r="AV32" i="5"/>
  <c r="AW32" i="5"/>
  <c r="AV33" i="8"/>
  <c r="AW33" i="8"/>
  <c r="AW33" i="13"/>
  <c r="AV33" i="13"/>
  <c r="N33" i="13" s="1"/>
  <c r="AV32" i="11"/>
  <c r="N32" i="11" s="1"/>
  <c r="O32" i="11" s="1"/>
  <c r="AW32" i="11"/>
  <c r="M33" i="11"/>
  <c r="AX36" i="12" l="1"/>
  <c r="N32" i="5"/>
  <c r="AV33" i="12"/>
  <c r="AW33" i="12"/>
  <c r="AV34" i="9"/>
  <c r="N34" i="9" s="1"/>
  <c r="AW34" i="9"/>
  <c r="AV33" i="10"/>
  <c r="AW33" i="10"/>
  <c r="P32" i="3"/>
  <c r="M33" i="3"/>
  <c r="O32" i="3"/>
  <c r="AV34" i="13"/>
  <c r="N34" i="13" s="1"/>
  <c r="AW34" i="13"/>
  <c r="N34" i="3"/>
  <c r="M34" i="13"/>
  <c r="O33" i="13"/>
  <c r="P33" i="13"/>
  <c r="AV33" i="14"/>
  <c r="AW33" i="14"/>
  <c r="AX36" i="14"/>
  <c r="M34" i="11"/>
  <c r="AV33" i="5"/>
  <c r="AW33" i="5"/>
  <c r="P32" i="11"/>
  <c r="M34" i="9"/>
  <c r="O33" i="9"/>
  <c r="P33" i="9"/>
  <c r="AV34" i="7"/>
  <c r="AW34" i="7"/>
  <c r="AV34" i="6"/>
  <c r="AW33" i="6"/>
  <c r="AV34" i="8"/>
  <c r="AW34" i="8"/>
  <c r="AV33" i="4"/>
  <c r="AW33" i="4"/>
  <c r="AV33" i="11"/>
  <c r="N33" i="11" s="1"/>
  <c r="O33" i="11" s="1"/>
  <c r="AW33" i="11"/>
  <c r="N33" i="5" l="1"/>
  <c r="P33" i="11"/>
  <c r="AW35" i="7"/>
  <c r="AV35" i="7"/>
  <c r="AV34" i="5"/>
  <c r="AW34" i="5"/>
  <c r="AV35" i="9"/>
  <c r="N35" i="9" s="1"/>
  <c r="AW35" i="9"/>
  <c r="AW35" i="8"/>
  <c r="AV35" i="8"/>
  <c r="M34" i="3"/>
  <c r="O33" i="3"/>
  <c r="P33" i="3"/>
  <c r="AV35" i="6"/>
  <c r="AW34" i="6"/>
  <c r="N35" i="3"/>
  <c r="AV34" i="12"/>
  <c r="AW34" i="12"/>
  <c r="AW34" i="4"/>
  <c r="AV34" i="4"/>
  <c r="M35" i="9"/>
  <c r="O34" i="9"/>
  <c r="P34" i="9"/>
  <c r="M35" i="11"/>
  <c r="AV34" i="14"/>
  <c r="AW34" i="14"/>
  <c r="P34" i="13"/>
  <c r="M35" i="13"/>
  <c r="O34" i="13"/>
  <c r="AV35" i="13"/>
  <c r="N35" i="13" s="1"/>
  <c r="AW35" i="13"/>
  <c r="AV34" i="10"/>
  <c r="AW34" i="10"/>
  <c r="AV34" i="11"/>
  <c r="N34" i="11" s="1"/>
  <c r="P34" i="11" s="1"/>
  <c r="AW34" i="11"/>
  <c r="N34" i="5" l="1"/>
  <c r="O34" i="11"/>
  <c r="O35" i="13"/>
  <c r="P35" i="13"/>
  <c r="M36" i="13"/>
  <c r="N36" i="3"/>
  <c r="O34" i="3"/>
  <c r="P34" i="3"/>
  <c r="M35" i="3"/>
  <c r="AV36" i="9"/>
  <c r="N36" i="9" s="1"/>
  <c r="AW36" i="9"/>
  <c r="AV36" i="8"/>
  <c r="AW36" i="8"/>
  <c r="AW35" i="5"/>
  <c r="AV35" i="5"/>
  <c r="AW35" i="10"/>
  <c r="AV35" i="10"/>
  <c r="M36" i="11"/>
  <c r="AV35" i="14"/>
  <c r="AW35" i="14"/>
  <c r="AV36" i="13"/>
  <c r="N36" i="13" s="1"/>
  <c r="N34" i="14" s="1"/>
  <c r="AW36" i="13"/>
  <c r="AV35" i="12"/>
  <c r="AW35" i="12"/>
  <c r="AW35" i="6"/>
  <c r="AV36" i="6"/>
  <c r="AV36" i="7"/>
  <c r="AW36" i="7"/>
  <c r="AV35" i="11"/>
  <c r="N35" i="11" s="1"/>
  <c r="P35" i="11" s="1"/>
  <c r="AW35" i="11"/>
  <c r="O35" i="9"/>
  <c r="P35" i="9"/>
  <c r="M36" i="9"/>
  <c r="N35" i="5" l="1"/>
  <c r="N35" i="14"/>
  <c r="AV36" i="14"/>
  <c r="N36" i="14" s="1"/>
  <c r="AW36" i="14"/>
  <c r="O35" i="11"/>
  <c r="AV36" i="11"/>
  <c r="N36" i="11" s="1"/>
  <c r="N35" i="12" s="1"/>
  <c r="AW36" i="11"/>
  <c r="N37" i="3"/>
  <c r="AV36" i="12"/>
  <c r="AW36" i="12"/>
  <c r="AV37" i="9"/>
  <c r="N37" i="9" s="1"/>
  <c r="N35" i="10" s="1"/>
  <c r="AW37" i="9"/>
  <c r="AW36" i="6"/>
  <c r="AV36" i="10"/>
  <c r="AW36" i="10"/>
  <c r="AB46" i="13"/>
  <c r="O36" i="13"/>
  <c r="P36" i="13"/>
  <c r="M7" i="14"/>
  <c r="AV36" i="5"/>
  <c r="AW36" i="5"/>
  <c r="O35" i="3"/>
  <c r="P35" i="3"/>
  <c r="M36" i="3"/>
  <c r="O36" i="9"/>
  <c r="P36" i="9"/>
  <c r="M37" i="9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M7" i="12"/>
  <c r="AW37" i="7"/>
  <c r="AV37" i="7"/>
  <c r="N36" i="5" l="1"/>
  <c r="M49" i="13"/>
  <c r="U49" i="13" s="1"/>
  <c r="U55" i="13" s="1"/>
  <c r="P36" i="11"/>
  <c r="O36" i="11"/>
  <c r="AB44" i="11"/>
  <c r="AC44" i="11" s="1"/>
  <c r="AD44" i="11" s="1"/>
  <c r="N36" i="12"/>
  <c r="N36" i="10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M8" i="14"/>
  <c r="O7" i="14"/>
  <c r="P7" i="14"/>
  <c r="P36" i="3"/>
  <c r="M37" i="3"/>
  <c r="O36" i="3"/>
  <c r="N7" i="12"/>
  <c r="O7" i="12" s="1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M8" i="12"/>
  <c r="O37" i="9"/>
  <c r="P37" i="9"/>
  <c r="AB47" i="9"/>
  <c r="M7" i="10"/>
  <c r="M8" i="10" s="1"/>
  <c r="M9" i="10" s="1"/>
  <c r="M10" i="10" s="1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M36" i="10" s="1"/>
  <c r="M37" i="10" s="1"/>
  <c r="AC46" i="13"/>
  <c r="AD46" i="13" s="1"/>
  <c r="AV37" i="12"/>
  <c r="N37" i="12" s="1"/>
  <c r="AW37" i="12"/>
  <c r="AV37" i="14"/>
  <c r="N37" i="14" s="1"/>
  <c r="AW37" i="14"/>
  <c r="AV37" i="5"/>
  <c r="AW37" i="5"/>
  <c r="AV37" i="10"/>
  <c r="N37" i="10" s="1"/>
  <c r="AW37" i="10"/>
  <c r="N37" i="5" l="1"/>
  <c r="N36" i="6" s="1"/>
  <c r="M9" i="12"/>
  <c r="M10" i="12" s="1"/>
  <c r="M49" i="11"/>
  <c r="U49" i="11" s="1"/>
  <c r="U55" i="11" s="1"/>
  <c r="O35" i="10"/>
  <c r="P35" i="10"/>
  <c r="O37" i="10"/>
  <c r="O36" i="10"/>
  <c r="P36" i="10"/>
  <c r="P7" i="12"/>
  <c r="AB48" i="13"/>
  <c r="AE46" i="13"/>
  <c r="P28" i="10"/>
  <c r="O28" i="10"/>
  <c r="P20" i="10"/>
  <c r="O20" i="10"/>
  <c r="O12" i="10"/>
  <c r="P12" i="10"/>
  <c r="P27" i="10"/>
  <c r="O27" i="10"/>
  <c r="P19" i="10"/>
  <c r="O19" i="10"/>
  <c r="O11" i="10"/>
  <c r="P11" i="10"/>
  <c r="O34" i="10"/>
  <c r="P34" i="10"/>
  <c r="O18" i="10"/>
  <c r="P18" i="10"/>
  <c r="O10" i="10"/>
  <c r="P10" i="10"/>
  <c r="AB47" i="10"/>
  <c r="AE44" i="11"/>
  <c r="AB46" i="11"/>
  <c r="O26" i="10"/>
  <c r="P26" i="10"/>
  <c r="O7" i="10"/>
  <c r="P7" i="10"/>
  <c r="P33" i="10"/>
  <c r="O33" i="10"/>
  <c r="O25" i="10"/>
  <c r="P25" i="10"/>
  <c r="O17" i="10"/>
  <c r="P17" i="10"/>
  <c r="O9" i="10"/>
  <c r="P9" i="10"/>
  <c r="O8" i="14"/>
  <c r="P8" i="14"/>
  <c r="M9" i="14"/>
  <c r="M10" i="14" s="1"/>
  <c r="P37" i="10"/>
  <c r="AC47" i="9"/>
  <c r="AD47" i="9" s="1"/>
  <c r="O32" i="10"/>
  <c r="P32" i="10"/>
  <c r="P24" i="10"/>
  <c r="O24" i="10"/>
  <c r="P16" i="10"/>
  <c r="O16" i="10"/>
  <c r="P8" i="10"/>
  <c r="O8" i="10"/>
  <c r="O8" i="12"/>
  <c r="P8" i="12"/>
  <c r="O31" i="10"/>
  <c r="P31" i="10"/>
  <c r="P23" i="10"/>
  <c r="O23" i="10"/>
  <c r="P15" i="10"/>
  <c r="O15" i="10"/>
  <c r="O37" i="3"/>
  <c r="AB47" i="3"/>
  <c r="P37" i="3"/>
  <c r="M7" i="4"/>
  <c r="M50" i="9"/>
  <c r="U50" i="9" s="1"/>
  <c r="U56" i="9" s="1"/>
  <c r="O30" i="10"/>
  <c r="P30" i="10"/>
  <c r="O22" i="10"/>
  <c r="P22" i="10"/>
  <c r="O14" i="10"/>
  <c r="P14" i="10"/>
  <c r="O29" i="10"/>
  <c r="P29" i="10"/>
  <c r="O21" i="10"/>
  <c r="P21" i="10"/>
  <c r="O13" i="10"/>
  <c r="P13" i="10"/>
  <c r="N34" i="6" l="1"/>
  <c r="N32" i="6"/>
  <c r="N28" i="6"/>
  <c r="N24" i="6"/>
  <c r="N18" i="6"/>
  <c r="N22" i="6"/>
  <c r="N16" i="6"/>
  <c r="N14" i="6"/>
  <c r="N30" i="6"/>
  <c r="N10" i="6"/>
  <c r="N26" i="6"/>
  <c r="N8" i="6"/>
  <c r="N20" i="6"/>
  <c r="N12" i="6"/>
  <c r="N35" i="6"/>
  <c r="N31" i="6"/>
  <c r="N27" i="6"/>
  <c r="N23" i="6"/>
  <c r="N19" i="6"/>
  <c r="N15" i="6"/>
  <c r="N11" i="6"/>
  <c r="N7" i="6"/>
  <c r="N33" i="6"/>
  <c r="N29" i="6"/>
  <c r="N25" i="6"/>
  <c r="N21" i="6"/>
  <c r="N17" i="6"/>
  <c r="N13" i="6"/>
  <c r="N9" i="6"/>
  <c r="N9" i="7"/>
  <c r="N13" i="7"/>
  <c r="N17" i="7"/>
  <c r="N21" i="7"/>
  <c r="N25" i="7"/>
  <c r="N29" i="7"/>
  <c r="N33" i="7"/>
  <c r="N37" i="7"/>
  <c r="N23" i="8" s="1"/>
  <c r="N10" i="7"/>
  <c r="N14" i="7"/>
  <c r="N18" i="7"/>
  <c r="N22" i="7"/>
  <c r="N26" i="7"/>
  <c r="N30" i="7"/>
  <c r="N34" i="7"/>
  <c r="N7" i="7"/>
  <c r="N11" i="7"/>
  <c r="N15" i="7"/>
  <c r="N19" i="7"/>
  <c r="N23" i="7"/>
  <c r="N27" i="7"/>
  <c r="N31" i="7"/>
  <c r="N35" i="7"/>
  <c r="N8" i="7"/>
  <c r="N12" i="7"/>
  <c r="N16" i="7"/>
  <c r="N20" i="7"/>
  <c r="N24" i="7"/>
  <c r="N28" i="7"/>
  <c r="N32" i="7"/>
  <c r="N36" i="7"/>
  <c r="P9" i="12"/>
  <c r="O9" i="12"/>
  <c r="M11" i="12"/>
  <c r="O10" i="12"/>
  <c r="P10" i="12"/>
  <c r="M8" i="4"/>
  <c r="M9" i="4" s="1"/>
  <c r="AE47" i="9"/>
  <c r="AB49" i="9"/>
  <c r="AC47" i="3"/>
  <c r="AD47" i="3" s="1"/>
  <c r="O9" i="14"/>
  <c r="P9" i="14"/>
  <c r="M50" i="3"/>
  <c r="U50" i="3" s="1"/>
  <c r="U56" i="3" s="1"/>
  <c r="AC47" i="10"/>
  <c r="AD47" i="10" s="1"/>
  <c r="AE45" i="11"/>
  <c r="AB48" i="11"/>
  <c r="AE47" i="13"/>
  <c r="AB50" i="13"/>
  <c r="O7" i="4"/>
  <c r="P7" i="4"/>
  <c r="N29" i="8" l="1"/>
  <c r="N17" i="8"/>
  <c r="N20" i="8"/>
  <c r="N16" i="8"/>
  <c r="N15" i="8"/>
  <c r="N35" i="8"/>
  <c r="N10" i="8"/>
  <c r="N30" i="8"/>
  <c r="N21" i="8"/>
  <c r="N12" i="8"/>
  <c r="N34" i="8"/>
  <c r="N27" i="8"/>
  <c r="N9" i="8"/>
  <c r="N8" i="8"/>
  <c r="N7" i="8"/>
  <c r="N22" i="8"/>
  <c r="N13" i="8"/>
  <c r="N19" i="8"/>
  <c r="N26" i="8"/>
  <c r="N33" i="8"/>
  <c r="N32" i="8"/>
  <c r="N31" i="8"/>
  <c r="N36" i="8"/>
  <c r="N14" i="8"/>
  <c r="N28" i="8"/>
  <c r="N11" i="8"/>
  <c r="N18" i="8"/>
  <c r="N25" i="8"/>
  <c r="N24" i="8"/>
  <c r="M12" i="12"/>
  <c r="P11" i="12"/>
  <c r="O11" i="12"/>
  <c r="O8" i="4"/>
  <c r="P8" i="4"/>
  <c r="M10" i="4"/>
  <c r="O9" i="4"/>
  <c r="P9" i="4"/>
  <c r="AB49" i="3"/>
  <c r="AB50" i="3" s="1"/>
  <c r="AE47" i="3"/>
  <c r="AE47" i="10"/>
  <c r="AB49" i="10"/>
  <c r="AE48" i="9"/>
  <c r="AB51" i="9"/>
  <c r="M13" i="12" l="1"/>
  <c r="O12" i="12"/>
  <c r="P12" i="12"/>
  <c r="M11" i="4"/>
  <c r="P10" i="4"/>
  <c r="O10" i="4"/>
  <c r="AE48" i="10"/>
  <c r="AB51" i="10"/>
  <c r="M50" i="10" s="1"/>
  <c r="U50" i="10" s="1"/>
  <c r="U56" i="10" s="1"/>
  <c r="AE48" i="3"/>
  <c r="AB51" i="3"/>
  <c r="M14" i="12" l="1"/>
  <c r="O13" i="12"/>
  <c r="P13" i="12"/>
  <c r="M12" i="4"/>
  <c r="P11" i="4"/>
  <c r="O11" i="4"/>
  <c r="D33" i="15"/>
  <c r="I33" i="15" s="1"/>
  <c r="H33" i="15"/>
  <c r="K33" i="15" s="1"/>
  <c r="M15" i="12" l="1"/>
  <c r="O14" i="12"/>
  <c r="P14" i="12"/>
  <c r="M13" i="4"/>
  <c r="O12" i="4"/>
  <c r="P12" i="4"/>
  <c r="M33" i="15"/>
  <c r="M16" i="12" l="1"/>
  <c r="O15" i="12"/>
  <c r="P15" i="12"/>
  <c r="M14" i="4"/>
  <c r="P13" i="4"/>
  <c r="O13" i="4"/>
  <c r="M17" i="12" l="1"/>
  <c r="O16" i="12"/>
  <c r="P16" i="12"/>
  <c r="M15" i="4"/>
  <c r="O14" i="4"/>
  <c r="P14" i="4"/>
  <c r="M18" i="12" l="1"/>
  <c r="P17" i="12"/>
  <c r="O17" i="12"/>
  <c r="M16" i="4"/>
  <c r="O15" i="4"/>
  <c r="P15" i="4"/>
  <c r="M19" i="12" l="1"/>
  <c r="P18" i="12"/>
  <c r="O18" i="12"/>
  <c r="M17" i="4"/>
  <c r="O16" i="4"/>
  <c r="P16" i="4"/>
  <c r="M20" i="12" l="1"/>
  <c r="P19" i="12"/>
  <c r="O19" i="12"/>
  <c r="M18" i="4"/>
  <c r="P17" i="4"/>
  <c r="O17" i="4"/>
  <c r="M21" i="12" l="1"/>
  <c r="O20" i="12"/>
  <c r="P20" i="12"/>
  <c r="M19" i="4"/>
  <c r="P18" i="4"/>
  <c r="O18" i="4"/>
  <c r="M22" i="12" l="1"/>
  <c r="P21" i="12"/>
  <c r="O21" i="12"/>
  <c r="M20" i="4"/>
  <c r="O19" i="4"/>
  <c r="P19" i="4"/>
  <c r="M23" i="12" l="1"/>
  <c r="O22" i="12"/>
  <c r="P22" i="12"/>
  <c r="M21" i="4"/>
  <c r="P20" i="4"/>
  <c r="O20" i="4"/>
  <c r="M24" i="12" l="1"/>
  <c r="P23" i="12"/>
  <c r="O23" i="12"/>
  <c r="M22" i="4"/>
  <c r="P21" i="4"/>
  <c r="O21" i="4"/>
  <c r="M25" i="12" l="1"/>
  <c r="O24" i="12"/>
  <c r="P24" i="12"/>
  <c r="M23" i="4"/>
  <c r="O22" i="4"/>
  <c r="P22" i="4"/>
  <c r="M26" i="12" l="1"/>
  <c r="P25" i="12"/>
  <c r="O25" i="12"/>
  <c r="M24" i="4"/>
  <c r="P23" i="4"/>
  <c r="O23" i="4"/>
  <c r="M27" i="12" l="1"/>
  <c r="P26" i="12"/>
  <c r="O26" i="12"/>
  <c r="M25" i="4"/>
  <c r="O24" i="4"/>
  <c r="P24" i="4"/>
  <c r="M28" i="12" l="1"/>
  <c r="P27" i="12"/>
  <c r="O27" i="12"/>
  <c r="M26" i="4"/>
  <c r="P25" i="4"/>
  <c r="O25" i="4"/>
  <c r="M29" i="12" l="1"/>
  <c r="P28" i="12"/>
  <c r="O28" i="12"/>
  <c r="M27" i="4"/>
  <c r="O26" i="4"/>
  <c r="P26" i="4"/>
  <c r="M30" i="12" l="1"/>
  <c r="O29" i="12"/>
  <c r="P29" i="12"/>
  <c r="M28" i="4"/>
  <c r="O27" i="4"/>
  <c r="P27" i="4"/>
  <c r="M31" i="12" l="1"/>
  <c r="P30" i="12"/>
  <c r="O30" i="12"/>
  <c r="M29" i="4"/>
  <c r="P28" i="4"/>
  <c r="O28" i="4"/>
  <c r="M32" i="12" l="1"/>
  <c r="P31" i="12"/>
  <c r="O31" i="12"/>
  <c r="M30" i="4"/>
  <c r="O29" i="4"/>
  <c r="P29" i="4"/>
  <c r="M33" i="12" l="1"/>
  <c r="O32" i="12"/>
  <c r="P32" i="12"/>
  <c r="M31" i="4"/>
  <c r="O30" i="4"/>
  <c r="P30" i="4"/>
  <c r="M34" i="12" l="1"/>
  <c r="P33" i="12"/>
  <c r="O33" i="12"/>
  <c r="M32" i="4"/>
  <c r="O31" i="4"/>
  <c r="P31" i="4"/>
  <c r="M35" i="12" l="1"/>
  <c r="P34" i="12"/>
  <c r="O34" i="12"/>
  <c r="M33" i="4"/>
  <c r="P32" i="4"/>
  <c r="O32" i="4"/>
  <c r="M36" i="12" l="1"/>
  <c r="P35" i="12"/>
  <c r="O35" i="12"/>
  <c r="M34" i="4"/>
  <c r="AB45" i="4" s="1"/>
  <c r="O33" i="4"/>
  <c r="P33" i="4"/>
  <c r="M37" i="12" l="1"/>
  <c r="P36" i="12"/>
  <c r="O36" i="12"/>
  <c r="P34" i="4"/>
  <c r="O34" i="4"/>
  <c r="AC45" i="4" l="1"/>
  <c r="AD45" i="4" s="1"/>
  <c r="AB47" i="4" s="1"/>
  <c r="AB48" i="4" s="1"/>
  <c r="M7" i="5"/>
  <c r="P37" i="12"/>
  <c r="AB47" i="12"/>
  <c r="O37" i="12"/>
  <c r="AE46" i="4" l="1"/>
  <c r="AB49" i="4" s="1"/>
  <c r="M48" i="4" s="1"/>
  <c r="M8" i="5"/>
  <c r="P7" i="5"/>
  <c r="O7" i="5"/>
  <c r="AC47" i="12"/>
  <c r="AD47" i="12" s="1"/>
  <c r="AE47" i="4" l="1"/>
  <c r="M9" i="5"/>
  <c r="P8" i="5"/>
  <c r="O8" i="5"/>
  <c r="U48" i="4"/>
  <c r="U54" i="4" s="1"/>
  <c r="H27" i="15"/>
  <c r="K27" i="15" s="1"/>
  <c r="D27" i="15"/>
  <c r="I27" i="15" s="1"/>
  <c r="AE47" i="12"/>
  <c r="AB49" i="12"/>
  <c r="M10" i="5" l="1"/>
  <c r="O9" i="5"/>
  <c r="P9" i="5"/>
  <c r="M27" i="15"/>
  <c r="N27" i="15" s="1"/>
  <c r="N28" i="15" s="1"/>
  <c r="AE48" i="12"/>
  <c r="AB51" i="12"/>
  <c r="M11" i="5" l="1"/>
  <c r="P10" i="5"/>
  <c r="O10" i="5"/>
  <c r="M50" i="12"/>
  <c r="U50" i="12" s="1"/>
  <c r="U56" i="12" s="1"/>
  <c r="D35" i="15"/>
  <c r="I35" i="15" s="1"/>
  <c r="H35" i="15"/>
  <c r="K35" i="15" s="1"/>
  <c r="M12" i="5" l="1"/>
  <c r="P11" i="5"/>
  <c r="O11" i="5"/>
  <c r="M35" i="15"/>
  <c r="M13" i="5" l="1"/>
  <c r="O12" i="5"/>
  <c r="P12" i="5"/>
  <c r="P10" i="14"/>
  <c r="O10" i="14"/>
  <c r="M11" i="14"/>
  <c r="P11" i="14" s="1"/>
  <c r="M14" i="5" l="1"/>
  <c r="O13" i="5"/>
  <c r="P13" i="5"/>
  <c r="M12" i="14"/>
  <c r="M13" i="14" s="1"/>
  <c r="P13" i="14" s="1"/>
  <c r="O11" i="14"/>
  <c r="M15" i="5" l="1"/>
  <c r="O14" i="5"/>
  <c r="P14" i="5"/>
  <c r="O13" i="14"/>
  <c r="O12" i="14"/>
  <c r="P12" i="14"/>
  <c r="M14" i="14"/>
  <c r="M15" i="14" s="1"/>
  <c r="M16" i="5" l="1"/>
  <c r="O15" i="5"/>
  <c r="P15" i="5"/>
  <c r="P14" i="14"/>
  <c r="O14" i="14"/>
  <c r="P15" i="14"/>
  <c r="O15" i="14"/>
  <c r="M16" i="14"/>
  <c r="M17" i="5" l="1"/>
  <c r="P16" i="5"/>
  <c r="O16" i="5"/>
  <c r="P16" i="14"/>
  <c r="O16" i="14"/>
  <c r="M17" i="14"/>
  <c r="M18" i="5" l="1"/>
  <c r="O17" i="5"/>
  <c r="P17" i="5"/>
  <c r="O17" i="14"/>
  <c r="M18" i="14"/>
  <c r="P17" i="14"/>
  <c r="M19" i="5" l="1"/>
  <c r="P18" i="5"/>
  <c r="O18" i="5"/>
  <c r="O18" i="14"/>
  <c r="P18" i="14"/>
  <c r="M19" i="14"/>
  <c r="M20" i="5" l="1"/>
  <c r="O19" i="5"/>
  <c r="P19" i="5"/>
  <c r="P19" i="14"/>
  <c r="O19" i="14"/>
  <c r="M20" i="14"/>
  <c r="M21" i="5" l="1"/>
  <c r="P20" i="5"/>
  <c r="O20" i="5"/>
  <c r="M21" i="14"/>
  <c r="O20" i="14"/>
  <c r="P20" i="14"/>
  <c r="M22" i="5" l="1"/>
  <c r="P21" i="5"/>
  <c r="O21" i="5"/>
  <c r="O21" i="14"/>
  <c r="P21" i="14"/>
  <c r="M22" i="14"/>
  <c r="M23" i="5" l="1"/>
  <c r="O22" i="5"/>
  <c r="P22" i="5"/>
  <c r="P22" i="14"/>
  <c r="O22" i="14"/>
  <c r="M23" i="14"/>
  <c r="M24" i="5" l="1"/>
  <c r="O23" i="5"/>
  <c r="P23" i="5"/>
  <c r="P23" i="14"/>
  <c r="O23" i="14"/>
  <c r="M24" i="14"/>
  <c r="M25" i="5" l="1"/>
  <c r="P24" i="5"/>
  <c r="O24" i="5"/>
  <c r="O24" i="14"/>
  <c r="M25" i="14"/>
  <c r="P24" i="14"/>
  <c r="M26" i="5" l="1"/>
  <c r="P25" i="5"/>
  <c r="O25" i="5"/>
  <c r="P25" i="14"/>
  <c r="O25" i="14"/>
  <c r="M26" i="14"/>
  <c r="M27" i="5" l="1"/>
  <c r="O26" i="5"/>
  <c r="P26" i="5"/>
  <c r="P26" i="14"/>
  <c r="O26" i="14"/>
  <c r="M27" i="14"/>
  <c r="M28" i="5" l="1"/>
  <c r="O27" i="5"/>
  <c r="P27" i="5"/>
  <c r="O27" i="14"/>
  <c r="P27" i="14"/>
  <c r="M28" i="14"/>
  <c r="M29" i="5" l="1"/>
  <c r="P28" i="5"/>
  <c r="O28" i="5"/>
  <c r="P28" i="14"/>
  <c r="M29" i="14"/>
  <c r="O28" i="14"/>
  <c r="M30" i="5" l="1"/>
  <c r="P29" i="5"/>
  <c r="O29" i="5"/>
  <c r="M30" i="14"/>
  <c r="O29" i="14"/>
  <c r="P29" i="14"/>
  <c r="M31" i="5" l="1"/>
  <c r="O30" i="5"/>
  <c r="P30" i="5"/>
  <c r="M31" i="14"/>
  <c r="O30" i="14"/>
  <c r="P30" i="14"/>
  <c r="M32" i="5" l="1"/>
  <c r="O31" i="5"/>
  <c r="P31" i="5"/>
  <c r="M32" i="14"/>
  <c r="O31" i="14"/>
  <c r="P31" i="14"/>
  <c r="M33" i="5" l="1"/>
  <c r="O32" i="5"/>
  <c r="P32" i="5"/>
  <c r="M33" i="14"/>
  <c r="O32" i="14"/>
  <c r="P32" i="14"/>
  <c r="M34" i="5" l="1"/>
  <c r="O33" i="5"/>
  <c r="P33" i="5"/>
  <c r="P33" i="14"/>
  <c r="M34" i="14"/>
  <c r="O33" i="14"/>
  <c r="M35" i="5" l="1"/>
  <c r="P34" i="5"/>
  <c r="O34" i="5"/>
  <c r="P34" i="14"/>
  <c r="O34" i="14"/>
  <c r="M35" i="14"/>
  <c r="M36" i="5" l="1"/>
  <c r="P35" i="5"/>
  <c r="O35" i="5"/>
  <c r="O35" i="14"/>
  <c r="P35" i="14"/>
  <c r="M36" i="14"/>
  <c r="M37" i="5" l="1"/>
  <c r="P36" i="5"/>
  <c r="O36" i="5"/>
  <c r="M37" i="14"/>
  <c r="P36" i="14"/>
  <c r="O36" i="14"/>
  <c r="M7" i="6" l="1"/>
  <c r="P37" i="5"/>
  <c r="O37" i="5"/>
  <c r="AB47" i="5"/>
  <c r="P37" i="14"/>
  <c r="O37" i="14"/>
  <c r="AB45" i="14"/>
  <c r="M50" i="5" l="1"/>
  <c r="U50" i="5" s="1"/>
  <c r="U56" i="5" s="1"/>
  <c r="AC47" i="5"/>
  <c r="AD47" i="5" s="1"/>
  <c r="M8" i="6"/>
  <c r="O7" i="6"/>
  <c r="P7" i="6"/>
  <c r="AC45" i="14"/>
  <c r="AD45" i="14" s="1"/>
  <c r="M9" i="6" l="1"/>
  <c r="P8" i="6"/>
  <c r="O8" i="6"/>
  <c r="AE47" i="5"/>
  <c r="AB49" i="5"/>
  <c r="AB50" i="5" s="1"/>
  <c r="AB47" i="14"/>
  <c r="AE45" i="14"/>
  <c r="AE48" i="5" l="1"/>
  <c r="AB51" i="5"/>
  <c r="M10" i="6"/>
  <c r="O9" i="6"/>
  <c r="P9" i="6"/>
  <c r="AE46" i="14"/>
  <c r="AB49" i="14"/>
  <c r="M50" i="14" s="1"/>
  <c r="U50" i="14" s="1"/>
  <c r="U56" i="14" s="1"/>
  <c r="P10" i="6" l="1"/>
  <c r="M11" i="6"/>
  <c r="O10" i="6"/>
  <c r="H37" i="15"/>
  <c r="K37" i="15" s="1"/>
  <c r="D37" i="15"/>
  <c r="I37" i="15" s="1"/>
  <c r="O11" i="6" l="1"/>
  <c r="P11" i="6"/>
  <c r="M12" i="6"/>
  <c r="M37" i="15"/>
  <c r="O12" i="6" l="1"/>
  <c r="M13" i="6"/>
  <c r="P12" i="6"/>
  <c r="P13" i="6" l="1"/>
  <c r="O13" i="6"/>
  <c r="M14" i="6"/>
  <c r="P14" i="6" l="1"/>
  <c r="M15" i="6"/>
  <c r="O14" i="6"/>
  <c r="P15" i="6" l="1"/>
  <c r="M16" i="6"/>
  <c r="O15" i="6"/>
  <c r="P16" i="6" l="1"/>
  <c r="O16" i="6"/>
  <c r="M17" i="6"/>
  <c r="O17" i="6" l="1"/>
  <c r="P17" i="6"/>
  <c r="M18" i="6"/>
  <c r="O18" i="6" l="1"/>
  <c r="M19" i="6"/>
  <c r="P18" i="6"/>
  <c r="P19" i="6" l="1"/>
  <c r="M20" i="6"/>
  <c r="O19" i="6"/>
  <c r="P20" i="6" l="1"/>
  <c r="O20" i="6"/>
  <c r="M21" i="6"/>
  <c r="P21" i="6" l="1"/>
  <c r="O21" i="6"/>
  <c r="M22" i="6"/>
  <c r="O22" i="6" l="1"/>
  <c r="P22" i="6"/>
  <c r="M23" i="6"/>
  <c r="P23" i="6" l="1"/>
  <c r="M24" i="6"/>
  <c r="O23" i="6"/>
  <c r="O24" i="6" l="1"/>
  <c r="M25" i="6"/>
  <c r="P24" i="6"/>
  <c r="O25" i="6" l="1"/>
  <c r="M26" i="6"/>
  <c r="P25" i="6"/>
  <c r="P26" i="6" l="1"/>
  <c r="M27" i="6"/>
  <c r="O26" i="6"/>
  <c r="O27" i="6" l="1"/>
  <c r="M28" i="6"/>
  <c r="P27" i="6"/>
  <c r="P28" i="6" l="1"/>
  <c r="O28" i="6"/>
  <c r="M29" i="6"/>
  <c r="O29" i="6" l="1"/>
  <c r="P29" i="6"/>
  <c r="M30" i="6"/>
  <c r="O30" i="6" l="1"/>
  <c r="M31" i="6"/>
  <c r="P30" i="6"/>
  <c r="P31" i="6" l="1"/>
  <c r="M32" i="6"/>
  <c r="O31" i="6"/>
  <c r="O32" i="6" l="1"/>
  <c r="P32" i="6"/>
  <c r="M33" i="6"/>
  <c r="O33" i="6" l="1"/>
  <c r="M34" i="6"/>
  <c r="P33" i="6"/>
  <c r="P34" i="6" l="1"/>
  <c r="O34" i="6"/>
  <c r="M35" i="6"/>
  <c r="P35" i="6" l="1"/>
  <c r="O35" i="6"/>
  <c r="M36" i="6"/>
  <c r="M7" i="7" l="1"/>
  <c r="AB44" i="6"/>
  <c r="O36" i="6"/>
  <c r="P36" i="6"/>
  <c r="AC44" i="6" l="1"/>
  <c r="AD44" i="6" s="1"/>
  <c r="O7" i="7"/>
  <c r="P7" i="7"/>
  <c r="M8" i="7"/>
  <c r="O8" i="7" l="1"/>
  <c r="M9" i="7"/>
  <c r="P8" i="7"/>
  <c r="AE44" i="6"/>
  <c r="AB46" i="6"/>
  <c r="AE45" i="6" l="1"/>
  <c r="AB48" i="6"/>
  <c r="M10" i="7"/>
  <c r="O9" i="7"/>
  <c r="P9" i="7"/>
  <c r="M49" i="6" l="1"/>
  <c r="U49" i="6" s="1"/>
  <c r="U55" i="6" s="1"/>
  <c r="H29" i="15"/>
  <c r="K29" i="15" s="1"/>
  <c r="D29" i="15"/>
  <c r="I29" i="15" s="1"/>
  <c r="M11" i="7"/>
  <c r="P10" i="7"/>
  <c r="O10" i="7"/>
  <c r="M12" i="7" l="1"/>
  <c r="O11" i="7"/>
  <c r="P11" i="7"/>
  <c r="M29" i="15"/>
  <c r="N29" i="15" s="1"/>
  <c r="N30" i="15" s="1"/>
  <c r="O12" i="7" l="1"/>
  <c r="P12" i="7"/>
  <c r="M13" i="7"/>
  <c r="M14" i="7" l="1"/>
  <c r="P13" i="7"/>
  <c r="O13" i="7"/>
  <c r="P14" i="7" l="1"/>
  <c r="O14" i="7"/>
  <c r="M15" i="7"/>
  <c r="P15" i="7" l="1"/>
  <c r="M16" i="7"/>
  <c r="O15" i="7"/>
  <c r="P16" i="7" l="1"/>
  <c r="M17" i="7"/>
  <c r="O16" i="7"/>
  <c r="P17" i="7" l="1"/>
  <c r="M18" i="7"/>
  <c r="O17" i="7"/>
  <c r="P18" i="7" l="1"/>
  <c r="O18" i="7"/>
  <c r="M19" i="7"/>
  <c r="P19" i="7" l="1"/>
  <c r="O19" i="7"/>
  <c r="M20" i="7"/>
  <c r="M21" i="7" l="1"/>
  <c r="O20" i="7"/>
  <c r="P20" i="7"/>
  <c r="M22" i="7" l="1"/>
  <c r="P21" i="7"/>
  <c r="O21" i="7"/>
  <c r="P22" i="7" l="1"/>
  <c r="M23" i="7"/>
  <c r="O22" i="7"/>
  <c r="P23" i="7" l="1"/>
  <c r="M24" i="7"/>
  <c r="O23" i="7"/>
  <c r="P24" i="7" l="1"/>
  <c r="O24" i="7"/>
  <c r="M25" i="7"/>
  <c r="M26" i="7" l="1"/>
  <c r="O25" i="7"/>
  <c r="P25" i="7"/>
  <c r="O26" i="7" l="1"/>
  <c r="M27" i="7"/>
  <c r="P26" i="7"/>
  <c r="P27" i="7" l="1"/>
  <c r="M28" i="7"/>
  <c r="O27" i="7"/>
  <c r="O28" i="7" l="1"/>
  <c r="M29" i="7"/>
  <c r="P28" i="7"/>
  <c r="M30" i="7" l="1"/>
  <c r="P29" i="7"/>
  <c r="O29" i="7"/>
  <c r="M31" i="7" l="1"/>
  <c r="O30" i="7"/>
  <c r="P30" i="7"/>
  <c r="O31" i="7" l="1"/>
  <c r="P31" i="7"/>
  <c r="M32" i="7"/>
  <c r="O32" i="7" l="1"/>
  <c r="P32" i="7"/>
  <c r="M33" i="7"/>
  <c r="O33" i="7" l="1"/>
  <c r="P33" i="7"/>
  <c r="M34" i="7"/>
  <c r="M35" i="7" l="1"/>
  <c r="P34" i="7"/>
  <c r="O34" i="7"/>
  <c r="M36" i="7" l="1"/>
  <c r="O35" i="7"/>
  <c r="P35" i="7"/>
  <c r="O36" i="7" l="1"/>
  <c r="M37" i="7"/>
  <c r="P36" i="7"/>
  <c r="P37" i="7" l="1"/>
  <c r="AB47" i="7"/>
  <c r="M7" i="8"/>
  <c r="O37" i="7"/>
  <c r="M50" i="7" l="1"/>
  <c r="U50" i="7" s="1"/>
  <c r="U56" i="7" s="1"/>
  <c r="AC47" i="7"/>
  <c r="AD47" i="7" s="1"/>
  <c r="M8" i="8"/>
  <c r="P7" i="8"/>
  <c r="O7" i="8"/>
  <c r="O8" i="8" l="1"/>
  <c r="P8" i="8"/>
  <c r="M9" i="8"/>
  <c r="AB49" i="7"/>
  <c r="AE47" i="7"/>
  <c r="AE48" i="7" l="1"/>
  <c r="AB51" i="7"/>
  <c r="O9" i="8"/>
  <c r="P9" i="8"/>
  <c r="M10" i="8"/>
  <c r="O10" i="8" l="1"/>
  <c r="M11" i="8"/>
  <c r="P10" i="8"/>
  <c r="O11" i="8" l="1"/>
  <c r="P11" i="8"/>
  <c r="M12" i="8"/>
  <c r="M13" i="8" l="1"/>
  <c r="P12" i="8"/>
  <c r="O12" i="8"/>
  <c r="O13" i="8" l="1"/>
  <c r="P13" i="8"/>
  <c r="M14" i="8"/>
  <c r="P14" i="8" l="1"/>
  <c r="O14" i="8"/>
  <c r="M15" i="8"/>
  <c r="M16" i="8" l="1"/>
  <c r="P15" i="8"/>
  <c r="O15" i="8"/>
  <c r="M17" i="8" l="1"/>
  <c r="P16" i="8"/>
  <c r="O16" i="8"/>
  <c r="M18" i="8" l="1"/>
  <c r="P17" i="8"/>
  <c r="O17" i="8"/>
  <c r="O18" i="8" l="1"/>
  <c r="M19" i="8"/>
  <c r="P18" i="8"/>
  <c r="P19" i="8" l="1"/>
  <c r="M20" i="8"/>
  <c r="O19" i="8"/>
  <c r="M21" i="8" l="1"/>
  <c r="O20" i="8"/>
  <c r="P20" i="8"/>
  <c r="M22" i="8" l="1"/>
  <c r="O21" i="8"/>
  <c r="P21" i="8"/>
  <c r="M23" i="8" l="1"/>
  <c r="O22" i="8"/>
  <c r="P22" i="8"/>
  <c r="M24" i="8" l="1"/>
  <c r="O23" i="8"/>
  <c r="P23" i="8"/>
  <c r="M25" i="8" l="1"/>
  <c r="O24" i="8"/>
  <c r="P24" i="8"/>
  <c r="O25" i="8" l="1"/>
  <c r="P25" i="8"/>
  <c r="M26" i="8"/>
  <c r="M27" i="8" l="1"/>
  <c r="O26" i="8"/>
  <c r="P26" i="8"/>
  <c r="O27" i="8" l="1"/>
  <c r="M28" i="8"/>
  <c r="P27" i="8"/>
  <c r="O28" i="8" l="1"/>
  <c r="M29" i="8"/>
  <c r="P28" i="8"/>
  <c r="M30" i="8" l="1"/>
  <c r="P29" i="8"/>
  <c r="O29" i="8"/>
  <c r="O30" i="8" l="1"/>
  <c r="M31" i="8"/>
  <c r="P30" i="8"/>
  <c r="O31" i="8" l="1"/>
  <c r="M32" i="8"/>
  <c r="P31" i="8"/>
  <c r="M33" i="8" l="1"/>
  <c r="P32" i="8"/>
  <c r="O32" i="8"/>
  <c r="M34" i="8" l="1"/>
  <c r="O33" i="8"/>
  <c r="P33" i="8"/>
  <c r="M35" i="8" l="1"/>
  <c r="O34" i="8"/>
  <c r="P34" i="8"/>
  <c r="O35" i="8" l="1"/>
  <c r="M36" i="8"/>
  <c r="P35" i="8"/>
  <c r="P36" i="8" l="1"/>
  <c r="AB44" i="8"/>
  <c r="O36" i="8"/>
  <c r="AC44" i="8" l="1"/>
  <c r="AD44" i="8" s="1"/>
  <c r="AB46" i="8" l="1"/>
  <c r="AE44" i="8"/>
  <c r="AE45" i="8" l="1"/>
  <c r="AB48" i="8"/>
  <c r="M49" i="8" l="1"/>
  <c r="U49" i="8" s="1"/>
  <c r="U55" i="8" s="1"/>
  <c r="D31" i="15"/>
  <c r="I31" i="15" s="1"/>
  <c r="H31" i="15"/>
  <c r="K31" i="15" s="1"/>
  <c r="M31" i="15" l="1"/>
  <c r="N31" i="15" s="1"/>
  <c r="N32" i="15" s="1"/>
  <c r="N33" i="15" s="1"/>
  <c r="N34" i="15" s="1"/>
  <c r="N35" i="15" s="1"/>
  <c r="N36" i="15" s="1"/>
  <c r="N37" i="15" s="1"/>
  <c r="N39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</authors>
  <commentList>
    <comment ref="Z3" authorId="0" shapeId="0" xr:uid="{00000000-0006-0000-0200-000001000000}">
      <text>
        <r>
          <rPr>
            <sz val="9"/>
            <color indexed="81"/>
            <rFont val="Tahoma"/>
            <family val="2"/>
          </rPr>
          <t>Si vous avez opté pour la clause de sauvegarde des anciens Inconvénients, veuillez cochez un " x " dans cette case.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</authors>
  <commentList>
    <comment ref="Z3" authorId="0" shapeId="0" xr:uid="{00000000-0006-0000-0B00-000001000000}">
      <text>
        <r>
          <rPr>
            <sz val="9"/>
            <color indexed="81"/>
            <rFont val="Tahoma"/>
            <family val="2"/>
          </rPr>
          <t>Si vous avez opté pour la clause de sauvegarde des anciens Inconvénients, veuillez cochez un " x " dans cette case.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</authors>
  <commentList>
    <comment ref="Z3" authorId="0" shapeId="0" xr:uid="{00000000-0006-0000-0C00-000001000000}">
      <text>
        <r>
          <rPr>
            <sz val="9"/>
            <color indexed="81"/>
            <rFont val="Tahoma"/>
            <family val="2"/>
          </rPr>
          <t xml:space="preserve">Si vous avez opté pour la clause de sauvegarde des anciens Inconvénients, veuillez cochez un " x " dans cette case.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</authors>
  <commentList>
    <comment ref="Z3" authorId="0" shapeId="0" xr:uid="{00000000-0006-0000-0D00-000001000000}">
      <text>
        <r>
          <rPr>
            <sz val="9"/>
            <color indexed="81"/>
            <rFont val="Tahoma"/>
            <family val="2"/>
          </rPr>
          <t xml:space="preserve">Si vous avez opté pour la clause de sauvegarde des anciens Inconvénients, veuillez cochez un " x " dans cette case.
</t>
        </r>
      </text>
    </comment>
    <comment ref="W41" authorId="0" shapeId="0" xr:uid="{00000000-0006-0000-0D00-000002000000}">
      <text>
        <r>
          <rPr>
            <sz val="9"/>
            <color indexed="81"/>
            <rFont val="Tahoma"/>
            <family val="2"/>
          </rPr>
          <t xml:space="preserve">Sauvegarde Ex-Gendarmerie:
pour les montants voir tableau Ex-Gd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</authors>
  <commentList>
    <comment ref="Z3" authorId="0" shapeId="0" xr:uid="{00000000-0006-0000-0300-000001000000}">
      <text>
        <r>
          <rPr>
            <sz val="9"/>
            <color indexed="81"/>
            <rFont val="Tahoma"/>
            <family val="2"/>
          </rPr>
          <t>Si vous avez opté pour la clause de sauvegarde des anciens Inconvénients, veuillez cochez un " x " dans cette case.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</authors>
  <commentList>
    <comment ref="Z3" authorId="0" shapeId="0" xr:uid="{00000000-0006-0000-0400-000001000000}">
      <text>
        <r>
          <rPr>
            <sz val="9"/>
            <color indexed="81"/>
            <rFont val="Tahoma"/>
            <family val="2"/>
          </rPr>
          <t>Si vous avez opté pour la clause de sauvegarde des anciens Inconvénients, veuillez cochez un " x " dans cette case.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</authors>
  <commentList>
    <comment ref="Z3" authorId="0" shapeId="0" xr:uid="{00000000-0006-0000-0500-000001000000}">
      <text>
        <r>
          <rPr>
            <sz val="9"/>
            <color indexed="81"/>
            <rFont val="Tahoma"/>
            <family val="2"/>
          </rPr>
          <t>Si vous avez opté pour la clause de sauvegarde des anciens Inconvénients, veuillez cochez un " x " dans cette case.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</authors>
  <commentList>
    <comment ref="Z3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Si vous avez opté pour la clause de sauvegarde des anciens Inconvénients, veuillez cochez un " x " dans cette case.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</authors>
  <commentList>
    <comment ref="Z3" authorId="0" shapeId="0" xr:uid="{00000000-0006-0000-0700-000001000000}">
      <text>
        <r>
          <rPr>
            <sz val="9"/>
            <color indexed="81"/>
            <rFont val="Tahoma"/>
            <family val="2"/>
          </rPr>
          <t>Si vous avez opté pour la clause de sauvegarde des anciens Inconvénients, veuillez cochez un " x " dans cette case.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</authors>
  <commentList>
    <comment ref="Z3" authorId="0" shapeId="0" xr:uid="{00000000-0006-0000-0800-000001000000}">
      <text>
        <r>
          <rPr>
            <sz val="9"/>
            <color indexed="81"/>
            <rFont val="Tahoma"/>
            <family val="2"/>
          </rPr>
          <t>Si vous avez opté pour la clause de sauvegarde des anciens Inconvénients, veuillez cochez un " x " dans cette case.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</authors>
  <commentList>
    <comment ref="Z3" authorId="0" shapeId="0" xr:uid="{00000000-0006-0000-0900-000001000000}">
      <text>
        <r>
          <rPr>
            <sz val="9"/>
            <color indexed="81"/>
            <rFont val="Tahoma"/>
            <family val="2"/>
          </rPr>
          <t>Si vous avez opté pour la clause de sauvegarde des anciens Inconvénients, veuillez cochez un " x " dans cette case.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Een tevreden gebruiker van Microsoft Office</author>
  </authors>
  <commentList>
    <comment ref="Z3" authorId="0" shapeId="0" xr:uid="{00000000-0006-0000-0A00-000001000000}">
      <text>
        <r>
          <rPr>
            <sz val="9"/>
            <color indexed="81"/>
            <rFont val="Tahoma"/>
            <family val="2"/>
          </rPr>
          <t>Si vous avez opté pour la clause de sauvegarde des anciens Inconvénients, veuillez cochez un " x " dans cette case.</t>
        </r>
      </text>
    </comment>
  </commentList>
</comments>
</file>

<file path=xl/sharedStrings.xml><?xml version="1.0" encoding="utf-8"?>
<sst xmlns="http://schemas.openxmlformats.org/spreadsheetml/2006/main" count="4764" uniqueCount="722">
  <si>
    <t>HAU1</t>
  </si>
  <si>
    <t>HAU2</t>
  </si>
  <si>
    <t>HAU3</t>
  </si>
  <si>
    <t>B1</t>
  </si>
  <si>
    <t>B2</t>
  </si>
  <si>
    <t>B3</t>
  </si>
  <si>
    <t>B4</t>
  </si>
  <si>
    <t>B5</t>
  </si>
  <si>
    <t>M1.1</t>
  </si>
  <si>
    <t>M1.2</t>
  </si>
  <si>
    <t>M2.1</t>
  </si>
  <si>
    <t>M2.2</t>
  </si>
  <si>
    <t>M3.1</t>
  </si>
  <si>
    <t>M3.2</t>
  </si>
  <si>
    <t>M4.1</t>
  </si>
  <si>
    <t>M4.2</t>
  </si>
  <si>
    <t>M5.1</t>
  </si>
  <si>
    <t>M5.2</t>
  </si>
  <si>
    <t>M6</t>
  </si>
  <si>
    <t>M7</t>
  </si>
  <si>
    <t>M7bis</t>
  </si>
  <si>
    <t>C4</t>
  </si>
  <si>
    <t>O1</t>
  </si>
  <si>
    <t>O2</t>
  </si>
  <si>
    <t>O3</t>
  </si>
  <si>
    <t>O4</t>
  </si>
  <si>
    <t>O5</t>
  </si>
  <si>
    <t>O6</t>
  </si>
  <si>
    <t>O7</t>
  </si>
  <si>
    <t>O8</t>
  </si>
  <si>
    <t>O4bis-ir</t>
  </si>
  <si>
    <t>O2ir</t>
  </si>
  <si>
    <t>O3ir</t>
  </si>
  <si>
    <t>O4ir</t>
  </si>
  <si>
    <t>O5ir</t>
  </si>
  <si>
    <t>O6ir</t>
  </si>
  <si>
    <t>O4bis</t>
  </si>
  <si>
    <t>Si vous travaillez qu'en tant que mi-temps, mettez un " x " ici</t>
  </si>
  <si>
    <t>( Pour les MI-TEMPS ne pas oublier d'adapter les valeurs des codes ci-dessous !!! )</t>
  </si>
  <si>
    <t>INFORMATIONS POUR LA COMPTABILISATION</t>
  </si>
  <si>
    <t>col. F</t>
  </si>
  <si>
    <t>col. G</t>
  </si>
  <si>
    <t>col. H</t>
  </si>
  <si>
    <t>col. I</t>
  </si>
  <si>
    <t>de</t>
  </si>
  <si>
    <t>à</t>
  </si>
  <si>
    <t>PLANTON</t>
  </si>
  <si>
    <t>Pmob 14-22</t>
  </si>
  <si>
    <t>ATTENTION : n'oublier pas de mettre le double point</t>
  </si>
  <si>
    <t>Pmob 22-07</t>
  </si>
  <si>
    <t>entre les heures et les minutes !</t>
  </si>
  <si>
    <t>Il faut impérativement transcrire les heures prestées comme dans l'exemple,</t>
  </si>
  <si>
    <r>
      <t xml:space="preserve">Les heures de nuit et de week-end sont calculées </t>
    </r>
    <r>
      <rPr>
        <b/>
        <sz val="8"/>
        <rFont val="Arial"/>
        <family val="2"/>
      </rPr>
      <t>automatiquement</t>
    </r>
    <r>
      <rPr>
        <sz val="8"/>
        <rFont val="Arial"/>
        <family val="2"/>
      </rPr>
      <t xml:space="preserve"> dans les dernières colonnes.</t>
    </r>
  </si>
  <si>
    <t>(Le comptage complet se fait dans la vision résumée mensuelle)</t>
  </si>
  <si>
    <t>Déficit d'heures à reporter vers la période de référence suivante</t>
  </si>
  <si>
    <t>Heures supplémentaires à reporter vers la période de référence suivante</t>
  </si>
  <si>
    <t>Les différents codes à inscrire dans la colonne 3 des feuilles mensuelles</t>
  </si>
  <si>
    <t>Derrière les n° 8 - 14 vous pouvez vous-même introduire des services :</t>
  </si>
  <si>
    <t>p.e.:</t>
  </si>
  <si>
    <t>Acceuill</t>
  </si>
  <si>
    <t>Dans la grille de service il suffit d'introduire le code 10 quand vous travaillez le service acceuill</t>
  </si>
  <si>
    <t>et les heures prestées sont immédiatement comptabilisées</t>
  </si>
  <si>
    <t>N.B.</t>
  </si>
  <si>
    <t>En cas de prestations à mi-temps, n'oubliez pas</t>
  </si>
  <si>
    <t>de remplacer les valeurs en bleu par les valeurs en rouge !!!!!</t>
  </si>
  <si>
    <t>code</t>
  </si>
  <si>
    <t>description</t>
  </si>
  <si>
    <t>Nbre Hr</t>
  </si>
  <si>
    <t>Mi-temps</t>
  </si>
  <si>
    <t>Jour de congé</t>
  </si>
  <si>
    <t>1/2 jour de congé</t>
  </si>
  <si>
    <t xml:space="preserve">Employer le "Code F" pour un jour </t>
  </si>
  <si>
    <t>Libre (malade)</t>
  </si>
  <si>
    <t xml:space="preserve">férié en semaine qui n'est pas  </t>
  </si>
  <si>
    <t>AGR</t>
  </si>
  <si>
    <t xml:space="preserve">prévu dans le programme ET pour </t>
  </si>
  <si>
    <t>Congé syndical</t>
  </si>
  <si>
    <t xml:space="preserve">TOUS les jours fériés PENDANT  </t>
  </si>
  <si>
    <t>1/2 congé syndical</t>
  </si>
  <si>
    <t>la semaine où vous TRAVAILLEZ</t>
  </si>
  <si>
    <t>1/2 jr congé+1/2 congé Synd</t>
  </si>
  <si>
    <t>F</t>
  </si>
  <si>
    <t>Jours Fériés(lu-ve)Service</t>
  </si>
  <si>
    <t xml:space="preserve">Employer le "Code FC" pour les </t>
  </si>
  <si>
    <t>FC</t>
  </si>
  <si>
    <t>Jours Fériés (lu-ve) congé</t>
  </si>
  <si>
    <t xml:space="preserve">jours fériés du lundi au vendredi </t>
  </si>
  <si>
    <t>L</t>
  </si>
  <si>
    <t>Jour libre 4/5</t>
  </si>
  <si>
    <t xml:space="preserve">où on N'EST PAS COMMANDE DE </t>
  </si>
  <si>
    <t>JP</t>
  </si>
  <si>
    <t>Jour de Pont</t>
  </si>
  <si>
    <t xml:space="preserve">SERVICE, ceci pour le compte </t>
  </si>
  <si>
    <t>des 7:36 heures</t>
  </si>
  <si>
    <t>Jour de Pont  = jour de congé</t>
  </si>
  <si>
    <t>compnesatoire pour un jour férié</t>
  </si>
  <si>
    <t>qui tombe dans le weekend,</t>
  </si>
  <si>
    <t>et désigné par l'autorité</t>
  </si>
  <si>
    <t>Introduisez ici le nombre de jours de congé</t>
  </si>
  <si>
    <t>FICHE DE CONGE</t>
  </si>
  <si>
    <t>Si vous prenez un jour de congé et introduisez le code 1 (1/2 jour de congé = code 2) dans la colonne 3</t>
  </si>
  <si>
    <t>en regard du jour concerné, votre fiche sera automatiquement tenue à jour.  Si vous recevez des jours de</t>
  </si>
  <si>
    <t>congé complémentaires (p.e. : don de sang,…) alors, il vous suffit d'introduire le nombre exact dans la</t>
  </si>
  <si>
    <t>cellule jaune de la feuille mensuelle.</t>
  </si>
  <si>
    <t>COMPTABILISATION DES HEURES DE NUIT ET DE WEEK-END.</t>
  </si>
  <si>
    <t>La comptabilisation des heures de nuit et de week-end est identique pour tous les membres du personnel.</t>
  </si>
  <si>
    <t>Cependant, un certain nombre d'éléments dans le calcul final des indemnités nettes.</t>
  </si>
  <si>
    <t>Revenus annuels</t>
  </si>
  <si>
    <t>% Précompte professionnel allocations</t>
  </si>
  <si>
    <t>%</t>
  </si>
  <si>
    <t>Sauvegarde</t>
  </si>
  <si>
    <t>MO</t>
  </si>
  <si>
    <t>MI</t>
  </si>
  <si>
    <t>AV</t>
  </si>
  <si>
    <t>NA</t>
  </si>
  <si>
    <t>Nouveau</t>
  </si>
  <si>
    <t>Anc-Gd (19-07)</t>
  </si>
  <si>
    <t>x</t>
  </si>
  <si>
    <t>Hr supplémentaires à prendre en compte</t>
  </si>
  <si>
    <t>Déficit d'hrs période préced.</t>
  </si>
  <si>
    <t>Halftime</t>
  </si>
  <si>
    <t>Fulltime</t>
  </si>
  <si>
    <t>co</t>
  </si>
  <si>
    <t>Men</t>
  </si>
  <si>
    <t>Service</t>
  </si>
  <si>
    <t>Presté</t>
  </si>
  <si>
    <t>Norm.</t>
  </si>
  <si>
    <t>+ / -</t>
  </si>
  <si>
    <t>Repas</t>
  </si>
  <si>
    <t>Hr-Nuit</t>
  </si>
  <si>
    <t>Hr</t>
  </si>
  <si>
    <t>Cont.</t>
  </si>
  <si>
    <t>Ind.</t>
  </si>
  <si>
    <t>19/24</t>
  </si>
  <si>
    <t>00/07</t>
  </si>
  <si>
    <t xml:space="preserve">Na Hr </t>
  </si>
  <si>
    <t xml:space="preserve">22/24 </t>
  </si>
  <si>
    <t>Totaal</t>
  </si>
  <si>
    <t>Na Hr</t>
  </si>
  <si>
    <t>00/06</t>
  </si>
  <si>
    <t>Ment</t>
  </si>
  <si>
    <t xml:space="preserve">Te </t>
  </si>
  <si>
    <t>Norm</t>
  </si>
  <si>
    <t>Jour</t>
  </si>
  <si>
    <t>Date</t>
  </si>
  <si>
    <t>Enq</t>
  </si>
  <si>
    <t>jour</t>
  </si>
  <si>
    <t>total</t>
  </si>
  <si>
    <t>prest.</t>
  </si>
  <si>
    <t>différence</t>
  </si>
  <si>
    <t>Midi</t>
  </si>
  <si>
    <t>Soir</t>
  </si>
  <si>
    <t>Nuit</t>
  </si>
  <si>
    <t>Mat</t>
  </si>
  <si>
    <t>19/07</t>
  </si>
  <si>
    <t>WE</t>
  </si>
  <si>
    <t>19/22</t>
  </si>
  <si>
    <t>22/06</t>
  </si>
  <si>
    <t>Rapp.</t>
  </si>
  <si>
    <t>Vélo</t>
  </si>
  <si>
    <t xml:space="preserve"> NaHr</t>
  </si>
  <si>
    <t>NaHr</t>
  </si>
  <si>
    <t>Nahr</t>
  </si>
  <si>
    <t>CODE</t>
  </si>
  <si>
    <t>WE HR</t>
  </si>
  <si>
    <t>Verlof</t>
  </si>
  <si>
    <t>BOB</t>
  </si>
  <si>
    <t>Gewerkt"F"</t>
  </si>
  <si>
    <t>morgen</t>
  </si>
  <si>
    <t>middag</t>
  </si>
  <si>
    <t>avond</t>
  </si>
  <si>
    <t>nacht</t>
  </si>
  <si>
    <t>ment</t>
  </si>
  <si>
    <t>presteren</t>
  </si>
  <si>
    <t>Prest</t>
  </si>
  <si>
    <t>Remarques</t>
  </si>
  <si>
    <t>Ma</t>
  </si>
  <si>
    <t>1/jan</t>
  </si>
  <si>
    <t>Me</t>
  </si>
  <si>
    <t>2/jan</t>
  </si>
  <si>
    <t>Je</t>
  </si>
  <si>
    <t>3/jan</t>
  </si>
  <si>
    <t>Ve</t>
  </si>
  <si>
    <t>4/jan</t>
  </si>
  <si>
    <t>Sa</t>
  </si>
  <si>
    <t>5/jan</t>
  </si>
  <si>
    <t>Di</t>
  </si>
  <si>
    <t>6/jan</t>
  </si>
  <si>
    <t>Lu</t>
  </si>
  <si>
    <t>7/jan</t>
  </si>
  <si>
    <t>8/jan</t>
  </si>
  <si>
    <t>9/jan</t>
  </si>
  <si>
    <t>10/jan</t>
  </si>
  <si>
    <t>11/jan</t>
  </si>
  <si>
    <t>12/jan</t>
  </si>
  <si>
    <t>13/jan</t>
  </si>
  <si>
    <t>14/jan</t>
  </si>
  <si>
    <t>15/jan</t>
  </si>
  <si>
    <t>16/jan</t>
  </si>
  <si>
    <t>17/jan</t>
  </si>
  <si>
    <t>18/jan</t>
  </si>
  <si>
    <t>19/jan</t>
  </si>
  <si>
    <t>20/jan</t>
  </si>
  <si>
    <t>21/jan</t>
  </si>
  <si>
    <t>22/jan</t>
  </si>
  <si>
    <t>23/jan</t>
  </si>
  <si>
    <t>24/jan</t>
  </si>
  <si>
    <t>25/jan</t>
  </si>
  <si>
    <t>26/jan</t>
  </si>
  <si>
    <t>27/jan</t>
  </si>
  <si>
    <t>28/jan</t>
  </si>
  <si>
    <t>29/jan</t>
  </si>
  <si>
    <t>30/jan</t>
  </si>
  <si>
    <t>31/jan</t>
  </si>
  <si>
    <t>Eddy Borms</t>
  </si>
  <si>
    <t>Sauvegarde Ex-Gd</t>
  </si>
  <si>
    <t>Index</t>
  </si>
  <si>
    <t>IndexV</t>
  </si>
  <si>
    <t>Nbre de jours de congé</t>
  </si>
  <si>
    <t>Vision générale JANVIER</t>
  </si>
  <si>
    <t>Nouveau Statut</t>
  </si>
  <si>
    <t>Adm</t>
  </si>
  <si>
    <t>Jours de congé complém.     +</t>
  </si>
  <si>
    <t>(paiement en MARS)</t>
  </si>
  <si>
    <t>Jours de congé substitution</t>
  </si>
  <si>
    <t>Nbre Hr WE</t>
  </si>
  <si>
    <t>hr</t>
  </si>
  <si>
    <t>€</t>
  </si>
  <si>
    <t xml:space="preserve"> % Précompte</t>
  </si>
  <si>
    <t>Oud statuut</t>
  </si>
  <si>
    <t>Uurloon bruto</t>
  </si>
  <si>
    <t>nieuw statuut</t>
  </si>
  <si>
    <r>
      <t xml:space="preserve">Jours de congé consom.          </t>
    </r>
    <r>
      <rPr>
        <b/>
        <sz val="8"/>
        <rFont val="Arial"/>
        <family val="2"/>
      </rPr>
      <t xml:space="preserve"> -</t>
    </r>
  </si>
  <si>
    <t xml:space="preserve">- </t>
  </si>
  <si>
    <t>Nbre Hr Nuit (19-07)</t>
  </si>
  <si>
    <t>allocations</t>
  </si>
  <si>
    <t>uurloon netto</t>
  </si>
  <si>
    <t>Calog</t>
  </si>
  <si>
    <t>Nbre Hr Nuit (19-22)</t>
  </si>
  <si>
    <t>O/Hr</t>
  </si>
  <si>
    <t>ontbijt</t>
  </si>
  <si>
    <t>Jour(s) de congé restant(s)</t>
  </si>
  <si>
    <t>Nbre Hr Nuit (22-06)</t>
  </si>
  <si>
    <t>Repas de midi</t>
  </si>
  <si>
    <t>Repas de midi(1)</t>
  </si>
  <si>
    <t>Berekenen overHr</t>
  </si>
  <si>
    <t>Fin période ?</t>
  </si>
  <si>
    <t>Oui</t>
  </si>
  <si>
    <t>Non</t>
  </si>
  <si>
    <t>Repas du soir</t>
  </si>
  <si>
    <t>Repas du soir(1)</t>
  </si>
  <si>
    <t>nachtmaaltijd</t>
  </si>
  <si>
    <t>Introduire  " x "</t>
  </si>
  <si>
    <t>Repas de nuit</t>
  </si>
  <si>
    <t>Repas de nuit(1)</t>
  </si>
  <si>
    <t>percentage afhouding</t>
  </si>
  <si>
    <t>Petits déjeuners</t>
  </si>
  <si>
    <t>Petit déjeuner(1)</t>
  </si>
  <si>
    <t>netto percent vergoeding</t>
  </si>
  <si>
    <t>Déficit d'heures à reporter vers</t>
  </si>
  <si>
    <t>Hr Sup. À payer</t>
  </si>
  <si>
    <t>la période suivante</t>
  </si>
  <si>
    <t>Frais réels d'enquête</t>
  </si>
  <si>
    <t>jours</t>
  </si>
  <si>
    <t>nacht 19-22 à 20%</t>
  </si>
  <si>
    <t>( Seulement fin période )</t>
  </si>
  <si>
    <t>Indemnité de vélo</t>
  </si>
  <si>
    <t>km</t>
  </si>
  <si>
    <t>nacht 22-06 à 35%</t>
  </si>
  <si>
    <t>Contactable</t>
  </si>
  <si>
    <r>
      <t xml:space="preserve">Heures </t>
    </r>
    <r>
      <rPr>
        <b/>
        <sz val="8"/>
        <rFont val="Arial"/>
        <family val="2"/>
      </rPr>
      <t>supplémentaires</t>
    </r>
    <r>
      <rPr>
        <sz val="8"/>
        <rFont val="Arial"/>
        <family val="2"/>
      </rPr>
      <t xml:space="preserve"> à reporter vers</t>
    </r>
  </si>
  <si>
    <t>Contactable+rappelable</t>
  </si>
  <si>
    <t>Bereikbaar</t>
  </si>
  <si>
    <t>Mentor</t>
  </si>
  <si>
    <t>Bereikbaar en terugroepbaar</t>
  </si>
  <si>
    <t>Total</t>
  </si>
  <si>
    <t>1/fév</t>
  </si>
  <si>
    <t>2/fév</t>
  </si>
  <si>
    <t>3/fév</t>
  </si>
  <si>
    <t>4/fév</t>
  </si>
  <si>
    <t>5/fév</t>
  </si>
  <si>
    <t>6/fév</t>
  </si>
  <si>
    <t>7/fév</t>
  </si>
  <si>
    <t>8/fév</t>
  </si>
  <si>
    <t>9/fév</t>
  </si>
  <si>
    <t>10/fév</t>
  </si>
  <si>
    <t>11/fév</t>
  </si>
  <si>
    <t>12/fév</t>
  </si>
  <si>
    <t>13/fév</t>
  </si>
  <si>
    <t>14/fév</t>
  </si>
  <si>
    <t>15/fév</t>
  </si>
  <si>
    <t>16/fév</t>
  </si>
  <si>
    <t>17/fév</t>
  </si>
  <si>
    <t>18/fév</t>
  </si>
  <si>
    <t>19/fév</t>
  </si>
  <si>
    <t>20/fév</t>
  </si>
  <si>
    <t>21/fév</t>
  </si>
  <si>
    <t>22/fév</t>
  </si>
  <si>
    <t>23/fév</t>
  </si>
  <si>
    <t>24/fév</t>
  </si>
  <si>
    <t>25/fév</t>
  </si>
  <si>
    <t>26/fév</t>
  </si>
  <si>
    <t>27/fév</t>
  </si>
  <si>
    <t>28/fév</t>
  </si>
  <si>
    <t>Vision générale FEVRIER</t>
  </si>
  <si>
    <t>(paiement en AVRIL)</t>
  </si>
  <si>
    <t>Hr Sup. À payer ?</t>
  </si>
  <si>
    <t>OUI</t>
  </si>
  <si>
    <t>NON</t>
  </si>
  <si>
    <t>1/mar</t>
  </si>
  <si>
    <t>2/mar</t>
  </si>
  <si>
    <t>3/mar</t>
  </si>
  <si>
    <t>4/mar</t>
  </si>
  <si>
    <t>5/mar</t>
  </si>
  <si>
    <t>6/mar</t>
  </si>
  <si>
    <t>7/mar</t>
  </si>
  <si>
    <t>8/mar</t>
  </si>
  <si>
    <t>9/mar</t>
  </si>
  <si>
    <t>10/mar</t>
  </si>
  <si>
    <t>11/mar</t>
  </si>
  <si>
    <t>12/mar</t>
  </si>
  <si>
    <t>13/mar</t>
  </si>
  <si>
    <t>14/mar</t>
  </si>
  <si>
    <t>15/mar</t>
  </si>
  <si>
    <t>16/mar</t>
  </si>
  <si>
    <t>17/mar</t>
  </si>
  <si>
    <t>18/mar</t>
  </si>
  <si>
    <t>19/mar</t>
  </si>
  <si>
    <t>20/mar</t>
  </si>
  <si>
    <t>21/mar</t>
  </si>
  <si>
    <t>22/mar</t>
  </si>
  <si>
    <t>23/mar</t>
  </si>
  <si>
    <t>24/mar</t>
  </si>
  <si>
    <t>25/mar</t>
  </si>
  <si>
    <t>26/mar</t>
  </si>
  <si>
    <t>27/mar</t>
  </si>
  <si>
    <t>28/mar</t>
  </si>
  <si>
    <t>29/mar</t>
  </si>
  <si>
    <t>30/mar</t>
  </si>
  <si>
    <t>31/mar</t>
  </si>
  <si>
    <t>Vision générale MARS</t>
  </si>
  <si>
    <t>(paiement en MAI)</t>
  </si>
  <si>
    <t>1/avr</t>
  </si>
  <si>
    <t>2/avr</t>
  </si>
  <si>
    <t>3/avr</t>
  </si>
  <si>
    <t>4/avr</t>
  </si>
  <si>
    <t>5/avr</t>
  </si>
  <si>
    <t>6/avr</t>
  </si>
  <si>
    <t>7/avr</t>
  </si>
  <si>
    <t>8/avr</t>
  </si>
  <si>
    <t>9/avr</t>
  </si>
  <si>
    <t>10/avr</t>
  </si>
  <si>
    <t>11/avr</t>
  </si>
  <si>
    <t>12/avr</t>
  </si>
  <si>
    <t>13/avr</t>
  </si>
  <si>
    <t>14/avr</t>
  </si>
  <si>
    <t>15/avr</t>
  </si>
  <si>
    <t>16/avr</t>
  </si>
  <si>
    <t>17/avr</t>
  </si>
  <si>
    <t>18/avr</t>
  </si>
  <si>
    <t>19/avr</t>
  </si>
  <si>
    <t>20/avr</t>
  </si>
  <si>
    <t>21/avr</t>
  </si>
  <si>
    <t>22/avr</t>
  </si>
  <si>
    <t>23/avr</t>
  </si>
  <si>
    <t>24/avr</t>
  </si>
  <si>
    <t>25/avr</t>
  </si>
  <si>
    <t>26/avr</t>
  </si>
  <si>
    <t>27/avr</t>
  </si>
  <si>
    <t>28/avr</t>
  </si>
  <si>
    <t>29/avr</t>
  </si>
  <si>
    <t>30/avr</t>
  </si>
  <si>
    <t>Vision générale AVRIL</t>
  </si>
  <si>
    <t>(paiement en JUIN)</t>
  </si>
  <si>
    <t>=15:00 uur</t>
  </si>
  <si>
    <t>Berekenen OverHr</t>
  </si>
  <si>
    <t>Atl verlofdagen WE</t>
  </si>
  <si>
    <t>1/mai</t>
  </si>
  <si>
    <t>2/mai</t>
  </si>
  <si>
    <t>3/mai</t>
  </si>
  <si>
    <t>4/mai</t>
  </si>
  <si>
    <t>5/mai</t>
  </si>
  <si>
    <t>6/mai</t>
  </si>
  <si>
    <t>7/mai</t>
  </si>
  <si>
    <t>8/mai</t>
  </si>
  <si>
    <t>9/mai</t>
  </si>
  <si>
    <t>10/mai</t>
  </si>
  <si>
    <t>11/mai</t>
  </si>
  <si>
    <t>12/mai</t>
  </si>
  <si>
    <t>13/mai</t>
  </si>
  <si>
    <t>14/mai</t>
  </si>
  <si>
    <t>15/mai</t>
  </si>
  <si>
    <t>16/mai</t>
  </si>
  <si>
    <t>17/mai</t>
  </si>
  <si>
    <t>18/mai</t>
  </si>
  <si>
    <t>19/mai</t>
  </si>
  <si>
    <t>20/mai</t>
  </si>
  <si>
    <t>21/mai</t>
  </si>
  <si>
    <t>22/mai</t>
  </si>
  <si>
    <t>23/mai</t>
  </si>
  <si>
    <t>24/mai</t>
  </si>
  <si>
    <t>25/mai</t>
  </si>
  <si>
    <t>26/mai</t>
  </si>
  <si>
    <t>27/mai</t>
  </si>
  <si>
    <t>28/mai</t>
  </si>
  <si>
    <t>29/mai</t>
  </si>
  <si>
    <t>30/mai</t>
  </si>
  <si>
    <t>31/mai</t>
  </si>
  <si>
    <t>Vision générale MAI</t>
  </si>
  <si>
    <t>(paiement en JUILLET)</t>
  </si>
  <si>
    <t>1/jun</t>
  </si>
  <si>
    <t>2/jun</t>
  </si>
  <si>
    <t>3/jun</t>
  </si>
  <si>
    <t>4/jun</t>
  </si>
  <si>
    <t>5/jun</t>
  </si>
  <si>
    <t>6/jun</t>
  </si>
  <si>
    <t>7/jun</t>
  </si>
  <si>
    <t>8/jun</t>
  </si>
  <si>
    <t>9/jun</t>
  </si>
  <si>
    <t>10/jun</t>
  </si>
  <si>
    <t>11/jun</t>
  </si>
  <si>
    <t>12/jun</t>
  </si>
  <si>
    <t>13/jun</t>
  </si>
  <si>
    <t>14/jun</t>
  </si>
  <si>
    <t>15/jun</t>
  </si>
  <si>
    <t>16/jun</t>
  </si>
  <si>
    <t>17/jun</t>
  </si>
  <si>
    <t>18/jun</t>
  </si>
  <si>
    <t>19/jun</t>
  </si>
  <si>
    <t>20/jun</t>
  </si>
  <si>
    <t>21/jun</t>
  </si>
  <si>
    <t>22/jun</t>
  </si>
  <si>
    <t>23/jun</t>
  </si>
  <si>
    <t>24/jun</t>
  </si>
  <si>
    <t>25/jun</t>
  </si>
  <si>
    <t>26/jun</t>
  </si>
  <si>
    <t>27/jun</t>
  </si>
  <si>
    <t>28/jun</t>
  </si>
  <si>
    <t>29/jun</t>
  </si>
  <si>
    <t>30/jun</t>
  </si>
  <si>
    <t>Vision générale JUIN</t>
  </si>
  <si>
    <t>(paiement en AOUT)</t>
  </si>
  <si>
    <t>1/jul</t>
  </si>
  <si>
    <t>2/jul</t>
  </si>
  <si>
    <t>3/jul</t>
  </si>
  <si>
    <t>4/jul</t>
  </si>
  <si>
    <t>5/jul</t>
  </si>
  <si>
    <t>6/jul</t>
  </si>
  <si>
    <t>7/jul</t>
  </si>
  <si>
    <t>8/jul</t>
  </si>
  <si>
    <t>9/jul</t>
  </si>
  <si>
    <t>10/jul</t>
  </si>
  <si>
    <t>11/jul</t>
  </si>
  <si>
    <t>12/jul</t>
  </si>
  <si>
    <t>13/jul</t>
  </si>
  <si>
    <t>14/jul</t>
  </si>
  <si>
    <t>15/jul</t>
  </si>
  <si>
    <t>16/jul</t>
  </si>
  <si>
    <t>17/jul</t>
  </si>
  <si>
    <t>18/jul</t>
  </si>
  <si>
    <t>19/jul</t>
  </si>
  <si>
    <t>20/jul</t>
  </si>
  <si>
    <t>21/jul</t>
  </si>
  <si>
    <t>22/jul</t>
  </si>
  <si>
    <t>23/jul</t>
  </si>
  <si>
    <t>24/jul</t>
  </si>
  <si>
    <t>25/jul</t>
  </si>
  <si>
    <t>26/jul</t>
  </si>
  <si>
    <t>27/jul</t>
  </si>
  <si>
    <t>28/jul</t>
  </si>
  <si>
    <t>29/jul</t>
  </si>
  <si>
    <t>30/jul</t>
  </si>
  <si>
    <t>31/jul</t>
  </si>
  <si>
    <t>Vision générale JUILLET</t>
  </si>
  <si>
    <t>(paiement en SEPTEMBRE)</t>
  </si>
  <si>
    <t>1/aou</t>
  </si>
  <si>
    <t>2/aou</t>
  </si>
  <si>
    <t>3/aou</t>
  </si>
  <si>
    <t>4/aou</t>
  </si>
  <si>
    <t>5/aou</t>
  </si>
  <si>
    <t>6/aou</t>
  </si>
  <si>
    <t>7/aou</t>
  </si>
  <si>
    <t>8/aou</t>
  </si>
  <si>
    <t>9/aou</t>
  </si>
  <si>
    <t>10/aou</t>
  </si>
  <si>
    <t>11/aou</t>
  </si>
  <si>
    <t>12/aou</t>
  </si>
  <si>
    <t>13/aou</t>
  </si>
  <si>
    <t>14/aou</t>
  </si>
  <si>
    <t>15/aou</t>
  </si>
  <si>
    <t>16/aou</t>
  </si>
  <si>
    <t>17/aou</t>
  </si>
  <si>
    <t>18/aou</t>
  </si>
  <si>
    <t>19/aou</t>
  </si>
  <si>
    <t>20/aou</t>
  </si>
  <si>
    <t>21/aou</t>
  </si>
  <si>
    <t>22/aou</t>
  </si>
  <si>
    <t>23/aou</t>
  </si>
  <si>
    <t>24/aou</t>
  </si>
  <si>
    <t>25/aou</t>
  </si>
  <si>
    <t>26/aou</t>
  </si>
  <si>
    <t>27/aou</t>
  </si>
  <si>
    <t>28/aou</t>
  </si>
  <si>
    <t>29/aou</t>
  </si>
  <si>
    <t>30/aou</t>
  </si>
  <si>
    <t>31/aou</t>
  </si>
  <si>
    <t>Vision générale AOUT</t>
  </si>
  <si>
    <t>(paiement en OCTOBRE)</t>
  </si>
  <si>
    <t>1/sep</t>
  </si>
  <si>
    <t>2/sep</t>
  </si>
  <si>
    <t>3/sep</t>
  </si>
  <si>
    <t>4/sep</t>
  </si>
  <si>
    <t>5/sep</t>
  </si>
  <si>
    <t>6/sep</t>
  </si>
  <si>
    <t>7/sep</t>
  </si>
  <si>
    <t>8/sep</t>
  </si>
  <si>
    <t>9/sep</t>
  </si>
  <si>
    <t>10/sep</t>
  </si>
  <si>
    <t>11/sep</t>
  </si>
  <si>
    <t>12/sep</t>
  </si>
  <si>
    <t>13/sep</t>
  </si>
  <si>
    <t>14/sep</t>
  </si>
  <si>
    <t>15/sep</t>
  </si>
  <si>
    <t>16/sep</t>
  </si>
  <si>
    <t>17/sep</t>
  </si>
  <si>
    <t>18/sep</t>
  </si>
  <si>
    <t>19/sep</t>
  </si>
  <si>
    <t>20/sep</t>
  </si>
  <si>
    <t>21/sep</t>
  </si>
  <si>
    <t>22/sep</t>
  </si>
  <si>
    <t>23/sep</t>
  </si>
  <si>
    <t>24/sep</t>
  </si>
  <si>
    <t>25/sep</t>
  </si>
  <si>
    <t>26/sep</t>
  </si>
  <si>
    <t>27/sep</t>
  </si>
  <si>
    <t>28/sep</t>
  </si>
  <si>
    <t>29/sep</t>
  </si>
  <si>
    <t>30/sep</t>
  </si>
  <si>
    <t>Vision générale SEPTEMBRE</t>
  </si>
  <si>
    <t xml:space="preserve">   </t>
  </si>
  <si>
    <t>(paiement en NOVEMBRE)</t>
  </si>
  <si>
    <t>1/oct</t>
  </si>
  <si>
    <t>2/oct</t>
  </si>
  <si>
    <t>3/oct</t>
  </si>
  <si>
    <t>4/oct</t>
  </si>
  <si>
    <t>5/oct</t>
  </si>
  <si>
    <t>6/oct</t>
  </si>
  <si>
    <t>7/oct</t>
  </si>
  <si>
    <t>8/oct</t>
  </si>
  <si>
    <t>9/oct</t>
  </si>
  <si>
    <t>10/oct</t>
  </si>
  <si>
    <t>11/oct</t>
  </si>
  <si>
    <t>12/oct</t>
  </si>
  <si>
    <t>13/oct</t>
  </si>
  <si>
    <t>14/oct</t>
  </si>
  <si>
    <t>15/oct</t>
  </si>
  <si>
    <t>16/oct</t>
  </si>
  <si>
    <t>17/oct</t>
  </si>
  <si>
    <t>18/oct</t>
  </si>
  <si>
    <t>19/oct</t>
  </si>
  <si>
    <t>20/oct</t>
  </si>
  <si>
    <t>21/oct</t>
  </si>
  <si>
    <t>22/oct</t>
  </si>
  <si>
    <t>23/oct</t>
  </si>
  <si>
    <t>24/oct</t>
  </si>
  <si>
    <t>25/oct</t>
  </si>
  <si>
    <t>26/oct</t>
  </si>
  <si>
    <t>27/oct</t>
  </si>
  <si>
    <t>28/oct</t>
  </si>
  <si>
    <t>29/oct</t>
  </si>
  <si>
    <t>30/oct</t>
  </si>
  <si>
    <t>31/oct</t>
  </si>
  <si>
    <t>Vision générale OCTOBRE</t>
  </si>
  <si>
    <t>(paiement en DECEMBRE)</t>
  </si>
  <si>
    <t>1/nov</t>
  </si>
  <si>
    <t>2/nov</t>
  </si>
  <si>
    <t>3/nov</t>
  </si>
  <si>
    <t>4/nov</t>
  </si>
  <si>
    <t>5/nov</t>
  </si>
  <si>
    <t>6/nov</t>
  </si>
  <si>
    <t>7/nov</t>
  </si>
  <si>
    <t>8/nov</t>
  </si>
  <si>
    <t>9/nov</t>
  </si>
  <si>
    <t>10/nov</t>
  </si>
  <si>
    <t>11/nov</t>
  </si>
  <si>
    <t>12/nov</t>
  </si>
  <si>
    <t>13/nov</t>
  </si>
  <si>
    <t>14/nov</t>
  </si>
  <si>
    <t>15/nov</t>
  </si>
  <si>
    <t>16/nov</t>
  </si>
  <si>
    <t>17/nov</t>
  </si>
  <si>
    <t>18/nov</t>
  </si>
  <si>
    <t>19/nov</t>
  </si>
  <si>
    <t>20/nov</t>
  </si>
  <si>
    <t>21/nov</t>
  </si>
  <si>
    <t>22/nov</t>
  </si>
  <si>
    <t>23/nov</t>
  </si>
  <si>
    <t>24/nov</t>
  </si>
  <si>
    <t>25/nov</t>
  </si>
  <si>
    <t>26/nov</t>
  </si>
  <si>
    <t>27/nov</t>
  </si>
  <si>
    <t>28/nov</t>
  </si>
  <si>
    <t>29/nov</t>
  </si>
  <si>
    <t>30/nov</t>
  </si>
  <si>
    <t>Vision générale NOVEMBRE</t>
  </si>
  <si>
    <t>(paiement en JANVIER)</t>
  </si>
  <si>
    <t>1/déc</t>
  </si>
  <si>
    <t>2/déc</t>
  </si>
  <si>
    <t>3/déc</t>
  </si>
  <si>
    <t>4/déc</t>
  </si>
  <si>
    <t>5/déc</t>
  </si>
  <si>
    <t>6/déc</t>
  </si>
  <si>
    <t>7/déc</t>
  </si>
  <si>
    <t>8/déc</t>
  </si>
  <si>
    <t>9/déc</t>
  </si>
  <si>
    <t>10/déc</t>
  </si>
  <si>
    <t>11/déc</t>
  </si>
  <si>
    <t>12/déc</t>
  </si>
  <si>
    <t>13/déc</t>
  </si>
  <si>
    <t>14/déc</t>
  </si>
  <si>
    <t>15/déc</t>
  </si>
  <si>
    <t>16/déc</t>
  </si>
  <si>
    <t>17/déc</t>
  </si>
  <si>
    <t>18/déc</t>
  </si>
  <si>
    <t>19/déc</t>
  </si>
  <si>
    <t>20/déc</t>
  </si>
  <si>
    <t>21/déc</t>
  </si>
  <si>
    <t>22/déc</t>
  </si>
  <si>
    <t>23/déc</t>
  </si>
  <si>
    <t>24/déc</t>
  </si>
  <si>
    <t>25/déc</t>
  </si>
  <si>
    <t>26/déc</t>
  </si>
  <si>
    <t>27/déc</t>
  </si>
  <si>
    <t>28/déc</t>
  </si>
  <si>
    <t>29/déc</t>
  </si>
  <si>
    <t>30/déc</t>
  </si>
  <si>
    <t>31/déc</t>
  </si>
  <si>
    <t>Vision générale DECEMBRE</t>
  </si>
  <si>
    <t>(paiement en FEVRIER)</t>
  </si>
  <si>
    <t>Tableau pour les ex-gendarmes  -  indemnités ancien statut - Les différentes échelles barémiques 100% et administrative</t>
  </si>
  <si>
    <t>Age</t>
  </si>
  <si>
    <t>MDL</t>
  </si>
  <si>
    <t>1MDL</t>
  </si>
  <si>
    <t>MDC</t>
  </si>
  <si>
    <t>1MDC</t>
  </si>
  <si>
    <t>Adjt</t>
  </si>
  <si>
    <t>ADC</t>
  </si>
  <si>
    <t>20(0)</t>
  </si>
  <si>
    <t>21(1)</t>
  </si>
  <si>
    <t>22(2)</t>
  </si>
  <si>
    <t>23(3)</t>
  </si>
  <si>
    <t>24(4)</t>
  </si>
  <si>
    <t>25(5)</t>
  </si>
  <si>
    <t>27(7)</t>
  </si>
  <si>
    <t>29(9)</t>
  </si>
  <si>
    <t>31(11)</t>
  </si>
  <si>
    <t>33(13)</t>
  </si>
  <si>
    <t>35(15)</t>
  </si>
  <si>
    <t>37(17)</t>
  </si>
  <si>
    <t>39(19)</t>
  </si>
  <si>
    <t>41(21)</t>
  </si>
  <si>
    <t>43(23)</t>
  </si>
  <si>
    <t>45(25)</t>
  </si>
  <si>
    <t>47(27)</t>
  </si>
  <si>
    <t>49(29)</t>
  </si>
  <si>
    <t>Dans la colonne "âge", vous trouverez entre parenthèses l'ancienneté correspondante.</t>
  </si>
  <si>
    <t>Diff./mois</t>
  </si>
  <si>
    <t>ANCIEN</t>
  </si>
  <si>
    <t>NOUVEAU</t>
  </si>
  <si>
    <t>En cas de</t>
  </si>
  <si>
    <t>Différence</t>
  </si>
  <si>
    <t>Nuit (19-07)</t>
  </si>
  <si>
    <t>HrSup</t>
  </si>
  <si>
    <t>Nuit(19-22)</t>
  </si>
  <si>
    <t>Nuit (22-06)</t>
  </si>
  <si>
    <t>CALCUL ANCIEN</t>
  </si>
  <si>
    <t>CALCUL NOUVEAU</t>
  </si>
  <si>
    <t>Totale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</si>
  <si>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</si>
  <si>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</si>
  <si>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</si>
  <si>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</si>
  <si>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</si>
  <si>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</si>
  <si>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</si>
  <si>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</si>
  <si>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</si>
  <si>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</si>
  <si>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</si>
  <si>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</si>
  <si>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 cas de résultat positif continué</t>
  </si>
  <si>
    <t>prendre en considération de passer</t>
  </si>
  <si>
    <t>au nouveau statut-inconvénients</t>
  </si>
  <si>
    <r>
      <t xml:space="preserve">Pour toutes vos autres questions, veuillez contacter </t>
    </r>
    <r>
      <rPr>
        <u/>
        <sz val="8"/>
        <color theme="4"/>
        <rFont val="Arial"/>
        <family val="2"/>
      </rPr>
      <t>memento@slfp-pol.be</t>
    </r>
  </si>
  <si>
    <t xml:space="preserve">        Memento 2019</t>
  </si>
  <si>
    <t>INDEMNITÉ DE BICYCLETTE</t>
  </si>
  <si>
    <t>INDEMNITÉ QUOTIDIENNE POUR FRAIS RÉELS D’ENQUÊTE / ALLOCATION DE MENTOR</t>
  </si>
  <si>
    <t>Ment/Enc.</t>
  </si>
  <si>
    <t>Si vous avez droit à l’indemnité quotidienne pour frais réels d’enquête, vous devez encoder un ‘x’ dans la colonne</t>
  </si>
  <si>
    <t>Si vous avez droit à une allocation de mentor, vous devez encoder un ‘m’ dans la colonne précitée.</t>
  </si>
  <si>
    <t>TRAVAILLER UN JOUR FÉRIÉ LÉGAL ET RÉGLEMENTAIRE</t>
  </si>
  <si>
    <t>travaillez pas et que vous recevez 7h36 de manière forfaitaire pour ces journées-là.</t>
  </si>
  <si>
    <t>Si par contre vous travaillez ces jours-là, vous devez modifier ce code en ‘F’, et ensuite compléter les prestations.</t>
  </si>
  <si>
    <t>Des heures de weekend sont alors calculées, et un jour de congé complémentaire est rajouté à votre fiche de congé.</t>
  </si>
  <si>
    <t>TRAVAILLER UN JOUR DE PONT</t>
  </si>
  <si>
    <t>Par défaut, le code FC a été complété pour les jours fériés légaux et réglementaires, ce qui signifie que vous ne</t>
  </si>
  <si>
    <t>Si vous avez droit aux deux, vous devez encoder "me".</t>
  </si>
  <si>
    <t xml:space="preserve">L'indemnité par kilomètre parcouru est déterminé ici et peut être ajusté si nécessaire </t>
  </si>
  <si>
    <t>Si par contre vous deviez travaillez, vous ne devez compléter que les prestations. Le code JP doit rester inchangé,</t>
  </si>
  <si>
    <t>01/07/2020</t>
  </si>
  <si>
    <t>X</t>
  </si>
  <si>
    <t>Cela signifie que si vous ne travaillez pas ce jour-là , vous aurez droit à un forfait de 7h36 heures.</t>
  </si>
  <si>
    <t>sinon aucun jour de congé supplémentaire ne sera ajouté à votre solde de congé.</t>
  </si>
  <si>
    <t>01/11/2022</t>
  </si>
  <si>
    <t>restant de 2021</t>
  </si>
  <si>
    <t>CALCUL DES CHÈQUES-REPAS (NOVEMBRE 2022)</t>
  </si>
  <si>
    <t>Au moment de la publication du mémento, aucun accord n'avait encore été négocié concernant le calcul des chèques-repas.</t>
  </si>
  <si>
    <t>Par conséquent, ce calcul ne sera intégré que dans notre version 2023.</t>
  </si>
  <si>
    <t>Memento 2022</t>
  </si>
  <si>
    <t>Attention: voie d’extinction !</t>
  </si>
  <si>
    <t>Voir le note SSGPI-RIO/2019/671</t>
  </si>
  <si>
    <t>Par défaut, le code JP a été complété pour les jours de ponts en 2022, c’est-à-dire le 27 mai et le 31 octobre (+1j sur la fiche des congés - CSC289)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</si>
</sst>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h]:mm"/>
    <numFmt numFmtId="165" formatCode="0.0000"/>
    <numFmt numFmtId="166" formatCode="[hh]"/>
  </numFmts>
  <fonts count="54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9"/>
      <color indexed="48"/>
      <name val="Arial"/>
      <family val="2"/>
    </font>
    <font>
      <b/>
      <sz val="10"/>
      <color indexed="12"/>
      <name val="Arial"/>
      <family val="2"/>
    </font>
    <font>
      <b/>
      <sz val="8"/>
      <color indexed="17"/>
      <name val="Arial"/>
      <family val="2"/>
    </font>
    <font>
      <sz val="8"/>
      <name val="Times New Roman"/>
      <family val="1"/>
    </font>
    <font>
      <b/>
      <u/>
      <sz val="8"/>
      <name val="Arial"/>
      <family val="2"/>
    </font>
    <font>
      <b/>
      <u/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8"/>
      <color indexed="9"/>
      <name val="Arial"/>
      <family val="2"/>
    </font>
    <font>
      <b/>
      <sz val="11"/>
      <color indexed="12"/>
      <name val="Arial"/>
      <family val="2"/>
    </font>
    <font>
      <u/>
      <sz val="8"/>
      <color theme="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indexed="12"/>
      <name val="Arial"/>
      <family val="2"/>
    </font>
    <font>
      <sz val="8"/>
      <color rgb="FFFF0000"/>
      <name val="Arial"/>
      <family val="2"/>
    </font>
    <font>
      <b/>
      <u/>
      <sz val="8"/>
      <color theme="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8" borderId="0" applyNumberFormat="0" applyBorder="0" applyAlignment="0" applyProtection="0"/>
    <xf numFmtId="0" fontId="43" fillId="12" borderId="0" applyNumberFormat="0" applyBorder="0" applyAlignment="0" applyProtection="0"/>
    <xf numFmtId="0" fontId="36" fillId="13" borderId="1" applyNumberFormat="0" applyAlignment="0" applyProtection="0"/>
    <xf numFmtId="0" fontId="38" fillId="14" borderId="2" applyNumberFormat="0" applyAlignment="0" applyProtection="0"/>
    <xf numFmtId="0" fontId="37" fillId="0" borderId="3" applyNumberFormat="0" applyFill="0" applyAlignment="0" applyProtection="0"/>
    <xf numFmtId="0" fontId="31" fillId="15" borderId="0" applyNumberFormat="0" applyBorder="0" applyAlignment="0" applyProtection="0"/>
    <xf numFmtId="0" fontId="34" fillId="6" borderId="1" applyNumberFormat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40" fillId="4" borderId="7" applyNumberFormat="0" applyFont="0" applyAlignment="0" applyProtection="0"/>
    <xf numFmtId="0" fontId="32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5" fillId="13" borderId="9" applyNumberFormat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24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0" xfId="0" applyFont="1" applyBorder="1" applyProtection="1">
      <protection hidden="1"/>
    </xf>
    <xf numFmtId="0" fontId="1" fillId="0" borderId="0" xfId="0" applyNumberFormat="1" applyFont="1" applyProtection="1">
      <protection hidden="1"/>
    </xf>
    <xf numFmtId="0" fontId="1" fillId="0" borderId="0" xfId="0" applyFont="1"/>
    <xf numFmtId="0" fontId="1" fillId="0" borderId="0" xfId="0" quotePrefix="1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5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1" fillId="0" borderId="15" xfId="0" applyFont="1" applyBorder="1" applyProtection="1"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Protection="1">
      <protection hidden="1"/>
    </xf>
    <xf numFmtId="0" fontId="1" fillId="0" borderId="17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13" xfId="0" applyBorder="1" applyProtection="1">
      <protection hidden="1"/>
    </xf>
    <xf numFmtId="0" fontId="1" fillId="0" borderId="0" xfId="0" quotePrefix="1" applyFont="1" applyProtection="1"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20" fontId="4" fillId="0" borderId="0" xfId="0" applyNumberFormat="1" applyFont="1" applyFill="1" applyBorder="1" applyAlignment="1" applyProtection="1">
      <alignment horizontal="center"/>
      <protection hidden="1"/>
    </xf>
    <xf numFmtId="20" fontId="1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7" fillId="0" borderId="12" xfId="0" applyFont="1" applyBorder="1" applyProtection="1">
      <protection hidden="1"/>
    </xf>
    <xf numFmtId="0" fontId="7" fillId="0" borderId="13" xfId="0" applyFont="1" applyBorder="1" applyProtection="1">
      <protection hidden="1"/>
    </xf>
    <xf numFmtId="0" fontId="7" fillId="0" borderId="19" xfId="0" applyFon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20" fontId="1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20" fontId="1" fillId="0" borderId="0" xfId="0" applyNumberFormat="1" applyFont="1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0" xfId="0" applyFill="1" applyProtection="1">
      <protection hidden="1"/>
    </xf>
    <xf numFmtId="16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Protection="1">
      <protection hidden="1"/>
    </xf>
    <xf numFmtId="0" fontId="1" fillId="0" borderId="0" xfId="0" quotePrefix="1" applyNumberFormat="1" applyFont="1" applyProtection="1"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1" fillId="0" borderId="24" xfId="0" applyNumberFormat="1" applyFont="1" applyBorder="1" applyAlignment="1" applyProtection="1">
      <alignment horizontal="left"/>
      <protection hidden="1"/>
    </xf>
    <xf numFmtId="0" fontId="1" fillId="0" borderId="25" xfId="0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/>
      <protection hidden="1"/>
    </xf>
    <xf numFmtId="0" fontId="1" fillId="0" borderId="13" xfId="0" applyNumberFormat="1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1" fillId="0" borderId="18" xfId="0" applyNumberFormat="1" applyFont="1" applyBorder="1" applyAlignment="1" applyProtection="1">
      <alignment horizontal="left"/>
      <protection hidden="1"/>
    </xf>
    <xf numFmtId="0" fontId="1" fillId="0" borderId="18" xfId="0" applyFont="1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left"/>
      <protection hidden="1"/>
    </xf>
    <xf numFmtId="0" fontId="1" fillId="0" borderId="26" xfId="0" applyFont="1" applyBorder="1" applyAlignment="1" applyProtection="1">
      <alignment horizontal="right"/>
      <protection hidden="1"/>
    </xf>
    <xf numFmtId="0" fontId="1" fillId="0" borderId="11" xfId="0" applyFont="1" applyBorder="1" applyAlignment="1" applyProtection="1">
      <alignment horizontal="right"/>
      <protection hidden="1"/>
    </xf>
    <xf numFmtId="1" fontId="1" fillId="0" borderId="0" xfId="0" applyNumberFormat="1" applyFont="1" applyProtection="1">
      <protection hidden="1"/>
    </xf>
    <xf numFmtId="0" fontId="10" fillId="0" borderId="16" xfId="0" applyFont="1" applyBorder="1" applyAlignment="1" applyProtection="1">
      <alignment horizontal="right"/>
      <protection hidden="1"/>
    </xf>
    <xf numFmtId="0" fontId="10" fillId="0" borderId="0" xfId="0" applyFont="1" applyBorder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" fillId="17" borderId="26" xfId="0" applyFont="1" applyFill="1" applyBorder="1" applyProtection="1">
      <protection hidden="1"/>
    </xf>
    <xf numFmtId="0" fontId="1" fillId="17" borderId="26" xfId="0" applyFont="1" applyFill="1" applyBorder="1" applyAlignment="1" applyProtection="1">
      <alignment horizontal="right"/>
      <protection hidden="1"/>
    </xf>
    <xf numFmtId="0" fontId="1" fillId="17" borderId="12" xfId="0" applyNumberFormat="1" applyFont="1" applyFill="1" applyBorder="1" applyAlignment="1" applyProtection="1">
      <alignment horizontal="center"/>
      <protection hidden="1"/>
    </xf>
    <xf numFmtId="0" fontId="1" fillId="17" borderId="26" xfId="0" applyFont="1" applyFill="1" applyBorder="1" applyAlignment="1" applyProtection="1">
      <alignment horizontal="center"/>
      <protection hidden="1"/>
    </xf>
    <xf numFmtId="0" fontId="1" fillId="17" borderId="11" xfId="0" applyFont="1" applyFill="1" applyBorder="1" applyProtection="1"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2" fillId="17" borderId="11" xfId="0" applyNumberFormat="1" applyFont="1" applyFill="1" applyBorder="1" applyAlignment="1" applyProtection="1">
      <alignment horizontal="center"/>
      <protection hidden="1"/>
    </xf>
    <xf numFmtId="0" fontId="2" fillId="17" borderId="17" xfId="0" applyFont="1" applyFill="1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1" fillId="17" borderId="23" xfId="0" applyFont="1" applyFill="1" applyBorder="1" applyAlignment="1" applyProtection="1">
      <alignment horizontal="centerContinuous"/>
      <protection hidden="1"/>
    </xf>
    <xf numFmtId="0" fontId="1" fillId="17" borderId="25" xfId="0" applyFont="1" applyFill="1" applyBorder="1" applyAlignment="1" applyProtection="1">
      <alignment horizontal="centerContinuous"/>
      <protection hidden="1"/>
    </xf>
    <xf numFmtId="0" fontId="1" fillId="17" borderId="19" xfId="0" quotePrefix="1" applyFont="1" applyFill="1" applyBorder="1" applyAlignment="1" applyProtection="1">
      <alignment horizontal="centerContinuous"/>
      <protection hidden="1"/>
    </xf>
    <xf numFmtId="0" fontId="1" fillId="17" borderId="12" xfId="0" quotePrefix="1" applyFont="1" applyFill="1" applyBorder="1" applyAlignment="1" applyProtection="1">
      <alignment horizontal="centerContinuous"/>
      <protection hidden="1"/>
    </xf>
    <xf numFmtId="0" fontId="2" fillId="17" borderId="17" xfId="0" applyFont="1" applyFill="1" applyBorder="1" applyAlignment="1" applyProtection="1">
      <alignment horizontal="centerContinuous"/>
      <protection hidden="1"/>
    </xf>
    <xf numFmtId="0" fontId="2" fillId="17" borderId="22" xfId="0" applyFont="1" applyFill="1" applyBorder="1" applyAlignment="1" applyProtection="1">
      <alignment horizontal="centerContinuous"/>
      <protection hidden="1"/>
    </xf>
    <xf numFmtId="0" fontId="0" fillId="0" borderId="0" xfId="0" applyNumberFormat="1" applyProtection="1">
      <protection hidden="1"/>
    </xf>
    <xf numFmtId="2" fontId="1" fillId="0" borderId="0" xfId="0" applyNumberFormat="1" applyFont="1" applyProtection="1"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8" xfId="0" applyFont="1" applyBorder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1" fontId="1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1" fontId="1" fillId="0" borderId="18" xfId="0" applyNumberFormat="1" applyFont="1" applyBorder="1" applyProtection="1">
      <protection hidden="1"/>
    </xf>
    <xf numFmtId="1" fontId="1" fillId="0" borderId="18" xfId="0" applyNumberFormat="1" applyFont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Continuous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right"/>
      <protection hidden="1"/>
    </xf>
    <xf numFmtId="0" fontId="1" fillId="0" borderId="25" xfId="0" applyFont="1" applyBorder="1" applyAlignment="1" applyProtection="1">
      <alignment horizontal="right"/>
      <protection hidden="1"/>
    </xf>
    <xf numFmtId="20" fontId="0" fillId="0" borderId="0" xfId="0" applyNumberFormat="1" applyProtection="1">
      <protection hidden="1"/>
    </xf>
    <xf numFmtId="20" fontId="1" fillId="0" borderId="0" xfId="0" applyNumberFormat="1" applyFont="1" applyProtection="1">
      <protection hidden="1"/>
    </xf>
    <xf numFmtId="0" fontId="1" fillId="0" borderId="12" xfId="0" applyFont="1" applyBorder="1" applyProtection="1">
      <protection hidden="1"/>
    </xf>
    <xf numFmtId="0" fontId="1" fillId="0" borderId="23" xfId="0" applyFont="1" applyBorder="1" applyProtection="1">
      <protection hidden="1"/>
    </xf>
    <xf numFmtId="1" fontId="1" fillId="0" borderId="13" xfId="0" applyNumberFormat="1" applyFont="1" applyBorder="1" applyProtection="1">
      <protection hidden="1"/>
    </xf>
    <xf numFmtId="1" fontId="1" fillId="0" borderId="0" xfId="0" applyNumberFormat="1" applyFont="1" applyAlignment="1" applyProtection="1">
      <alignment horizontal="right"/>
      <protection hidden="1"/>
    </xf>
    <xf numFmtId="0" fontId="1" fillId="18" borderId="10" xfId="0" applyFont="1" applyFill="1" applyBorder="1" applyAlignment="1" applyProtection="1">
      <alignment horizontal="right"/>
      <protection locked="0" hidden="1"/>
    </xf>
    <xf numFmtId="0" fontId="1" fillId="0" borderId="22" xfId="0" applyFont="1" applyBorder="1" applyProtection="1">
      <protection hidden="1"/>
    </xf>
    <xf numFmtId="0" fontId="6" fillId="0" borderId="13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6" fillId="0" borderId="18" xfId="0" applyFon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9" xfId="0" applyBorder="1" applyProtection="1">
      <protection hidden="1"/>
    </xf>
    <xf numFmtId="0" fontId="1" fillId="0" borderId="21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0" fillId="18" borderId="10" xfId="0" applyFill="1" applyBorder="1" applyAlignment="1" applyProtection="1">
      <alignment horizontal="center"/>
      <protection locked="0" hidden="1"/>
    </xf>
    <xf numFmtId="0" fontId="8" fillId="0" borderId="18" xfId="0" applyNumberFormat="1" applyFont="1" applyFill="1" applyBorder="1" applyProtection="1">
      <protection hidden="1"/>
    </xf>
    <xf numFmtId="0" fontId="1" fillId="0" borderId="23" xfId="0" applyFont="1" applyBorder="1" applyProtection="1">
      <protection locked="0" hidden="1"/>
    </xf>
    <xf numFmtId="0" fontId="1" fillId="0" borderId="25" xfId="0" applyFont="1" applyBorder="1" applyProtection="1">
      <protection locked="0" hidden="1"/>
    </xf>
    <xf numFmtId="0" fontId="1" fillId="0" borderId="17" xfId="0" applyFont="1" applyBorder="1" applyProtection="1">
      <protection locked="0" hidden="1"/>
    </xf>
    <xf numFmtId="0" fontId="1" fillId="0" borderId="22" xfId="0" applyFont="1" applyBorder="1" applyProtection="1">
      <protection locked="0" hidden="1"/>
    </xf>
    <xf numFmtId="0" fontId="0" fillId="18" borderId="10" xfId="0" applyNumberFormat="1" applyFill="1" applyBorder="1" applyAlignment="1" applyProtection="1">
      <alignment horizontal="center"/>
      <protection locked="0" hidden="1"/>
    </xf>
    <xf numFmtId="0" fontId="1" fillId="17" borderId="24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 applyProtection="1">
      <alignment horizontal="centerContinuous"/>
      <protection hidden="1"/>
    </xf>
    <xf numFmtId="0" fontId="0" fillId="0" borderId="12" xfId="0" applyBorder="1" applyProtection="1">
      <protection locked="0" hidden="1"/>
    </xf>
    <xf numFmtId="0" fontId="0" fillId="0" borderId="13" xfId="0" applyBorder="1" applyProtection="1"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19" xfId="0" applyBorder="1" applyAlignment="1" applyProtection="1">
      <alignment horizontal="center"/>
      <protection locked="0" hidden="1"/>
    </xf>
    <xf numFmtId="0" fontId="0" fillId="0" borderId="17" xfId="0" applyBorder="1" applyProtection="1">
      <protection locked="0" hidden="1"/>
    </xf>
    <xf numFmtId="0" fontId="0" fillId="0" borderId="18" xfId="0" applyBorder="1" applyProtection="1"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22" xfId="0" applyBorder="1" applyAlignment="1" applyProtection="1">
      <alignment horizontal="center"/>
      <protection locked="0" hidden="1"/>
    </xf>
    <xf numFmtId="0" fontId="1" fillId="0" borderId="24" xfId="0" applyFont="1" applyBorder="1" applyProtection="1">
      <protection hidden="1"/>
    </xf>
    <xf numFmtId="0" fontId="1" fillId="0" borderId="19" xfId="0" applyFont="1" applyFill="1" applyBorder="1" applyAlignment="1" applyProtection="1">
      <alignment horizontal="centerContinuous"/>
      <protection hidden="1"/>
    </xf>
    <xf numFmtId="0" fontId="0" fillId="0" borderId="0" xfId="0" applyProtection="1">
      <protection locked="0" hidden="1"/>
    </xf>
    <xf numFmtId="0" fontId="1" fillId="18" borderId="18" xfId="0" applyFont="1" applyFill="1" applyBorder="1" applyProtection="1">
      <protection locked="0" hidden="1"/>
    </xf>
    <xf numFmtId="0" fontId="1" fillId="0" borderId="0" xfId="0" applyFont="1" applyProtection="1">
      <protection locked="0" hidden="1"/>
    </xf>
    <xf numFmtId="0" fontId="0" fillId="0" borderId="29" xfId="0" applyBorder="1" applyProtection="1">
      <protection hidden="1"/>
    </xf>
    <xf numFmtId="0" fontId="1" fillId="0" borderId="29" xfId="0" applyFont="1" applyBorder="1" applyProtection="1">
      <protection hidden="1"/>
    </xf>
    <xf numFmtId="0" fontId="1" fillId="19" borderId="19" xfId="0" applyFont="1" applyFill="1" applyBorder="1" applyAlignment="1" applyProtection="1">
      <alignment horizontal="centerContinuous"/>
      <protection locked="0" hidden="1"/>
    </xf>
    <xf numFmtId="1" fontId="1" fillId="19" borderId="22" xfId="0" applyNumberFormat="1" applyFont="1" applyFill="1" applyBorder="1" applyAlignment="1" applyProtection="1">
      <alignment horizontal="centerContinuous"/>
      <protection locked="0" hidden="1"/>
    </xf>
    <xf numFmtId="1" fontId="1" fillId="0" borderId="0" xfId="0" applyNumberFormat="1" applyFont="1" applyBorder="1" applyAlignment="1" applyProtection="1">
      <alignment horizontal="right"/>
      <protection hidden="1"/>
    </xf>
    <xf numFmtId="1" fontId="1" fillId="0" borderId="20" xfId="0" applyNumberFormat="1" applyFont="1" applyFill="1" applyBorder="1" applyAlignment="1" applyProtection="1">
      <alignment horizontal="centerContinuous"/>
      <protection hidden="1"/>
    </xf>
    <xf numFmtId="0" fontId="1" fillId="18" borderId="16" xfId="0" applyFont="1" applyFill="1" applyBorder="1" applyProtection="1">
      <protection locked="0" hidden="1"/>
    </xf>
    <xf numFmtId="0" fontId="1" fillId="18" borderId="21" xfId="0" applyFont="1" applyFill="1" applyBorder="1" applyProtection="1">
      <protection locked="0" hidden="1"/>
    </xf>
    <xf numFmtId="2" fontId="1" fillId="0" borderId="13" xfId="0" applyNumberFormat="1" applyFont="1" applyBorder="1" applyAlignment="1" applyProtection="1">
      <alignment horizontal="right"/>
      <protection hidden="1"/>
    </xf>
    <xf numFmtId="2" fontId="1" fillId="0" borderId="0" xfId="0" applyNumberFormat="1" applyFont="1" applyBorder="1" applyAlignment="1" applyProtection="1">
      <alignment horizontal="right"/>
      <protection hidden="1"/>
    </xf>
    <xf numFmtId="2" fontId="1" fillId="0" borderId="18" xfId="0" applyNumberFormat="1" applyFont="1" applyBorder="1" applyAlignment="1" applyProtection="1">
      <alignment horizontal="right"/>
      <protection hidden="1"/>
    </xf>
    <xf numFmtId="2" fontId="1" fillId="0" borderId="0" xfId="0" applyNumberFormat="1" applyFont="1" applyAlignment="1" applyProtection="1">
      <alignment horizontal="right"/>
      <protection hidden="1"/>
    </xf>
    <xf numFmtId="0" fontId="1" fillId="19" borderId="26" xfId="0" applyFont="1" applyFill="1" applyBorder="1" applyAlignment="1" applyProtection="1">
      <alignment horizontal="center"/>
      <protection locked="0" hidden="1"/>
    </xf>
    <xf numFmtId="1" fontId="1" fillId="19" borderId="11" xfId="0" applyNumberFormat="1" applyFont="1" applyFill="1" applyBorder="1" applyAlignment="1" applyProtection="1">
      <alignment horizontal="center"/>
      <protection locked="0" hidden="1"/>
    </xf>
    <xf numFmtId="0" fontId="1" fillId="19" borderId="26" xfId="0" applyFont="1" applyFill="1" applyBorder="1" applyAlignment="1" applyProtection="1">
      <alignment horizontal="centerContinuous"/>
      <protection locked="0" hidden="1"/>
    </xf>
    <xf numFmtId="9" fontId="1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Border="1" applyProtection="1">
      <protection locked="0" hidden="1"/>
    </xf>
    <xf numFmtId="0" fontId="1" fillId="0" borderId="19" xfId="0" applyFont="1" applyBorder="1" applyProtection="1">
      <protection locked="0" hidden="1"/>
    </xf>
    <xf numFmtId="0" fontId="1" fillId="0" borderId="16" xfId="0" applyFont="1" applyBorder="1" applyProtection="1">
      <protection locked="0" hidden="1"/>
    </xf>
    <xf numFmtId="0" fontId="1" fillId="0" borderId="21" xfId="0" applyFont="1" applyBorder="1" applyProtection="1">
      <protection locked="0" hidden="1"/>
    </xf>
    <xf numFmtId="0" fontId="1" fillId="0" borderId="30" xfId="0" applyFont="1" applyBorder="1" applyProtection="1">
      <protection locked="0" hidden="1"/>
    </xf>
    <xf numFmtId="0" fontId="1" fillId="0" borderId="31" xfId="0" applyFont="1" applyBorder="1" applyProtection="1">
      <protection locked="0" hidden="1"/>
    </xf>
    <xf numFmtId="0" fontId="1" fillId="0" borderId="32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Continuous"/>
      <protection hidden="1"/>
    </xf>
    <xf numFmtId="0" fontId="2" fillId="17" borderId="11" xfId="0" quotePrefix="1" applyFont="1" applyFill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right"/>
      <protection hidden="1"/>
    </xf>
    <xf numFmtId="0" fontId="1" fillId="20" borderId="12" xfId="0" applyFont="1" applyFill="1" applyBorder="1" applyAlignment="1" applyProtection="1">
      <alignment horizontal="left"/>
      <protection hidden="1"/>
    </xf>
    <xf numFmtId="0" fontId="1" fillId="20" borderId="13" xfId="0" applyFont="1" applyFill="1" applyBorder="1" applyAlignment="1" applyProtection="1">
      <alignment horizontal="center"/>
      <protection hidden="1"/>
    </xf>
    <xf numFmtId="0" fontId="1" fillId="20" borderId="19" xfId="0" applyFont="1" applyFill="1" applyBorder="1" applyAlignment="1" applyProtection="1">
      <alignment horizontal="center"/>
      <protection hidden="1"/>
    </xf>
    <xf numFmtId="0" fontId="1" fillId="20" borderId="16" xfId="0" applyFont="1" applyFill="1" applyBorder="1" applyAlignment="1" applyProtection="1">
      <alignment horizontal="left"/>
      <protection hidden="1"/>
    </xf>
    <xf numFmtId="0" fontId="1" fillId="20" borderId="0" xfId="0" applyFont="1" applyFill="1" applyBorder="1" applyAlignment="1" applyProtection="1">
      <alignment horizontal="center"/>
      <protection hidden="1"/>
    </xf>
    <xf numFmtId="0" fontId="1" fillId="20" borderId="21" xfId="0" applyFont="1" applyFill="1" applyBorder="1" applyAlignment="1" applyProtection="1">
      <alignment horizontal="center"/>
      <protection hidden="1"/>
    </xf>
    <xf numFmtId="0" fontId="1" fillId="20" borderId="18" xfId="0" applyFont="1" applyFill="1" applyBorder="1" applyAlignment="1" applyProtection="1">
      <alignment horizontal="center"/>
      <protection hidden="1"/>
    </xf>
    <xf numFmtId="0" fontId="1" fillId="20" borderId="22" xfId="0" applyFont="1" applyFill="1" applyBorder="1" applyAlignment="1" applyProtection="1">
      <alignment horizontal="center"/>
      <protection hidden="1"/>
    </xf>
    <xf numFmtId="1" fontId="1" fillId="0" borderId="28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centerContinuous"/>
      <protection hidden="1"/>
    </xf>
    <xf numFmtId="2" fontId="1" fillId="0" borderId="0" xfId="0" applyNumberFormat="1" applyFont="1" applyBorder="1" applyProtection="1">
      <protection hidden="1"/>
    </xf>
    <xf numFmtId="0" fontId="1" fillId="0" borderId="0" xfId="0" applyNumberFormat="1" applyFont="1" applyFill="1" applyBorder="1" applyAlignment="1" applyProtection="1">
      <alignment horizontal="centerContinuous"/>
      <protection hidden="1"/>
    </xf>
    <xf numFmtId="1" fontId="1" fillId="0" borderId="0" xfId="0" applyNumberFormat="1" applyFont="1" applyFill="1" applyBorder="1" applyProtection="1">
      <protection hidden="1"/>
    </xf>
    <xf numFmtId="2" fontId="1" fillId="0" borderId="0" xfId="0" applyNumberFormat="1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16" fontId="2" fillId="17" borderId="11" xfId="0" quotePrefix="1" applyNumberFormat="1" applyFont="1" applyFill="1" applyBorder="1" applyAlignment="1" applyProtection="1">
      <alignment horizontal="center"/>
      <protection hidden="1"/>
    </xf>
    <xf numFmtId="0" fontId="1" fillId="0" borderId="13" xfId="0" applyNumberFormat="1" applyFont="1" applyBorder="1" applyProtection="1">
      <protection hidden="1"/>
    </xf>
    <xf numFmtId="0" fontId="1" fillId="0" borderId="18" xfId="0" applyNumberFormat="1" applyFont="1" applyBorder="1" applyProtection="1">
      <protection hidden="1"/>
    </xf>
    <xf numFmtId="164" fontId="1" fillId="19" borderId="10" xfId="0" applyNumberFormat="1" applyFont="1" applyFill="1" applyBorder="1" applyAlignment="1" applyProtection="1">
      <alignment horizontal="center"/>
      <protection locked="0" hidden="1"/>
    </xf>
    <xf numFmtId="164" fontId="1" fillId="21" borderId="10" xfId="0" applyNumberFormat="1" applyFont="1" applyFill="1" applyBorder="1" applyAlignment="1" applyProtection="1">
      <alignment horizontal="center"/>
      <protection hidden="1"/>
    </xf>
    <xf numFmtId="164" fontId="1" fillId="0" borderId="0" xfId="0" applyNumberFormat="1" applyFont="1" applyProtection="1">
      <protection hidden="1"/>
    </xf>
    <xf numFmtId="4" fontId="1" fillId="0" borderId="0" xfId="0" applyNumberFormat="1" applyFont="1" applyProtection="1">
      <protection hidden="1"/>
    </xf>
    <xf numFmtId="4" fontId="1" fillId="0" borderId="21" xfId="0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" fontId="1" fillId="0" borderId="0" xfId="0" applyNumberFormat="1" applyFont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21" xfId="0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locked="0" hidden="1"/>
    </xf>
    <xf numFmtId="0" fontId="5" fillId="0" borderId="0" xfId="0" applyFont="1" applyFill="1" applyBorder="1" applyAlignment="1" applyProtection="1">
      <alignment horizontal="center"/>
      <protection locked="0" hidden="1"/>
    </xf>
    <xf numFmtId="0" fontId="1" fillId="0" borderId="10" xfId="0" applyFont="1" applyFill="1" applyBorder="1" applyAlignment="1" applyProtection="1">
      <alignment horizontal="center"/>
      <protection hidden="1"/>
    </xf>
    <xf numFmtId="2" fontId="1" fillId="0" borderId="13" xfId="0" applyNumberFormat="1" applyFont="1" applyBorder="1" applyProtection="1">
      <protection hidden="1"/>
    </xf>
    <xf numFmtId="2" fontId="1" fillId="0" borderId="18" xfId="0" applyNumberFormat="1" applyFont="1" applyBorder="1" applyProtection="1">
      <protection hidden="1"/>
    </xf>
    <xf numFmtId="165" fontId="1" fillId="19" borderId="10" xfId="0" applyNumberFormat="1" applyFont="1" applyFill="1" applyBorder="1" applyAlignment="1" applyProtection="1">
      <alignment horizontal="center"/>
      <protection locked="0" hidden="1"/>
    </xf>
    <xf numFmtId="164" fontId="1" fillId="18" borderId="10" xfId="0" applyNumberFormat="1" applyFont="1" applyFill="1" applyBorder="1" applyAlignment="1" applyProtection="1">
      <alignment horizontal="center"/>
      <protection locked="0" hidden="1"/>
    </xf>
    <xf numFmtId="0" fontId="1" fillId="22" borderId="12" xfId="0" applyFont="1" applyFill="1" applyBorder="1" applyAlignment="1" applyProtection="1">
      <alignment horizontal="left"/>
      <protection hidden="1"/>
    </xf>
    <xf numFmtId="0" fontId="1" fillId="22" borderId="19" xfId="0" applyFont="1" applyFill="1" applyBorder="1" applyAlignment="1" applyProtection="1">
      <alignment horizontal="center"/>
      <protection hidden="1"/>
    </xf>
    <xf numFmtId="0" fontId="1" fillId="22" borderId="16" xfId="0" applyFont="1" applyFill="1" applyBorder="1" applyAlignment="1" applyProtection="1">
      <alignment horizontal="left"/>
      <protection hidden="1"/>
    </xf>
    <xf numFmtId="0" fontId="18" fillId="22" borderId="21" xfId="0" applyFont="1" applyFill="1" applyBorder="1" applyAlignment="1" applyProtection="1">
      <alignment horizontal="center"/>
      <protection hidden="1"/>
    </xf>
    <xf numFmtId="0" fontId="1" fillId="22" borderId="22" xfId="0" applyFont="1" applyFill="1" applyBorder="1" applyAlignment="1" applyProtection="1">
      <alignment horizontal="centerContinuous"/>
      <protection hidden="1"/>
    </xf>
    <xf numFmtId="0" fontId="1" fillId="22" borderId="17" xfId="0" applyFont="1" applyFill="1" applyBorder="1" applyAlignment="1" applyProtection="1">
      <alignment horizontal="centerContinuous"/>
      <protection hidden="1"/>
    </xf>
    <xf numFmtId="166" fontId="1" fillId="0" borderId="0" xfId="0" applyNumberFormat="1" applyFont="1" applyProtection="1">
      <protection hidden="1"/>
    </xf>
    <xf numFmtId="166" fontId="1" fillId="0" borderId="33" xfId="0" applyNumberFormat="1" applyFont="1" applyBorder="1" applyProtection="1">
      <protection hidden="1"/>
    </xf>
    <xf numFmtId="166" fontId="1" fillId="0" borderId="28" xfId="0" applyNumberFormat="1" applyFont="1" applyBorder="1" applyProtection="1">
      <protection hidden="1"/>
    </xf>
    <xf numFmtId="2" fontId="0" fillId="0" borderId="0" xfId="0" applyNumberFormat="1" applyProtection="1"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164" fontId="5" fillId="0" borderId="0" xfId="0" applyNumberFormat="1" applyFont="1" applyFill="1" applyBorder="1" applyAlignment="1" applyProtection="1">
      <alignment horizontal="left"/>
      <protection hidden="1"/>
    </xf>
    <xf numFmtId="0" fontId="1" fillId="0" borderId="24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4" fontId="1" fillId="23" borderId="10" xfId="0" applyNumberFormat="1" applyFont="1" applyFill="1" applyBorder="1" applyAlignment="1" applyProtection="1">
      <alignment horizontal="center"/>
      <protection locked="0" hidden="1"/>
    </xf>
    <xf numFmtId="0" fontId="1" fillId="17" borderId="34" xfId="0" applyFont="1" applyFill="1" applyBorder="1" applyAlignment="1" applyProtection="1">
      <alignment horizontal="center"/>
      <protection hidden="1"/>
    </xf>
    <xf numFmtId="0" fontId="1" fillId="17" borderId="11" xfId="0" applyFont="1" applyFill="1" applyBorder="1" applyAlignment="1" applyProtection="1">
      <alignment horizontal="center"/>
      <protection hidden="1"/>
    </xf>
    <xf numFmtId="20" fontId="1" fillId="17" borderId="26" xfId="0" applyNumberFormat="1" applyFont="1" applyFill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12" fillId="0" borderId="21" xfId="0" applyFont="1" applyBorder="1" applyProtection="1">
      <protection hidden="1"/>
    </xf>
    <xf numFmtId="20" fontId="12" fillId="0" borderId="21" xfId="0" applyNumberFormat="1" applyFont="1" applyBorder="1" applyProtection="1">
      <protection hidden="1"/>
    </xf>
    <xf numFmtId="20" fontId="19" fillId="0" borderId="10" xfId="0" applyNumberFormat="1" applyFont="1" applyBorder="1" applyAlignment="1" applyProtection="1">
      <alignment horizontal="right"/>
      <protection locked="0" hidden="1"/>
    </xf>
    <xf numFmtId="20" fontId="19" fillId="0" borderId="10" xfId="0" quotePrefix="1" applyNumberFormat="1" applyFont="1" applyBorder="1" applyAlignment="1" applyProtection="1">
      <alignment horizontal="right"/>
      <protection locked="0" hidden="1"/>
    </xf>
    <xf numFmtId="20" fontId="19" fillId="0" borderId="25" xfId="0" applyNumberFormat="1" applyFont="1" applyBorder="1" applyProtection="1">
      <protection locked="0" hidden="1"/>
    </xf>
    <xf numFmtId="20" fontId="19" fillId="0" borderId="22" xfId="0" applyNumberFormat="1" applyFont="1" applyBorder="1" applyProtection="1">
      <protection locked="0" hidden="1"/>
    </xf>
    <xf numFmtId="20" fontId="19" fillId="0" borderId="19" xfId="0" applyNumberFormat="1" applyFont="1" applyBorder="1" applyProtection="1">
      <protection locked="0" hidden="1"/>
    </xf>
    <xf numFmtId="20" fontId="19" fillId="0" borderId="21" xfId="0" applyNumberFormat="1" applyFont="1" applyBorder="1" applyProtection="1">
      <protection locked="0" hidden="1"/>
    </xf>
    <xf numFmtId="20" fontId="19" fillId="0" borderId="31" xfId="0" applyNumberFormat="1" applyFont="1" applyBorder="1" applyProtection="1">
      <protection locked="0" hidden="1"/>
    </xf>
    <xf numFmtId="0" fontId="1" fillId="22" borderId="22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20" fillId="0" borderId="0" xfId="0" applyFont="1" applyAlignment="1">
      <alignment horizontal="left"/>
    </xf>
    <xf numFmtId="0" fontId="15" fillId="0" borderId="0" xfId="0" applyNumberFormat="1" applyFont="1" applyAlignment="1" applyProtection="1">
      <alignment horizontal="left"/>
      <protection hidden="1"/>
    </xf>
    <xf numFmtId="0" fontId="15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1" fillId="17" borderId="0" xfId="0" applyFont="1" applyFill="1" applyBorder="1" applyAlignment="1" applyProtection="1">
      <alignment horizontal="center"/>
      <protection hidden="1"/>
    </xf>
    <xf numFmtId="0" fontId="2" fillId="17" borderId="0" xfId="0" applyFont="1" applyFill="1" applyBorder="1" applyAlignment="1" applyProtection="1">
      <alignment horizontal="center"/>
      <protection hidden="1"/>
    </xf>
    <xf numFmtId="20" fontId="1" fillId="17" borderId="0" xfId="0" applyNumberFormat="1" applyFont="1" applyFill="1" applyBorder="1" applyAlignment="1" applyProtection="1">
      <alignment horizontal="center"/>
      <protection hidden="1"/>
    </xf>
    <xf numFmtId="0" fontId="5" fillId="20" borderId="10" xfId="0" applyFont="1" applyFill="1" applyBorder="1" applyAlignment="1" applyProtection="1">
      <alignment horizontal="center"/>
      <protection locked="0" hidden="1"/>
    </xf>
    <xf numFmtId="0" fontId="17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3" fillId="0" borderId="0" xfId="0" applyFont="1"/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20" borderId="10" xfId="0" applyFont="1" applyFill="1" applyBorder="1" applyAlignment="1" applyProtection="1">
      <alignment horizontal="centerContinuous"/>
      <protection hidden="1"/>
    </xf>
    <xf numFmtId="9" fontId="5" fillId="20" borderId="32" xfId="0" applyNumberFormat="1" applyFont="1" applyFill="1" applyBorder="1" applyAlignment="1" applyProtection="1">
      <alignment horizontal="center"/>
      <protection hidden="1"/>
    </xf>
    <xf numFmtId="0" fontId="5" fillId="20" borderId="32" xfId="0" applyFont="1" applyFill="1" applyBorder="1" applyAlignment="1" applyProtection="1">
      <alignment horizontal="center"/>
      <protection hidden="1"/>
    </xf>
    <xf numFmtId="0" fontId="5" fillId="18" borderId="10" xfId="0" applyFont="1" applyFill="1" applyBorder="1" applyAlignment="1" applyProtection="1">
      <alignment horizontal="centerContinuous"/>
      <protection hidden="1"/>
    </xf>
    <xf numFmtId="9" fontId="5" fillId="18" borderId="32" xfId="0" applyNumberFormat="1" applyFont="1" applyFill="1" applyBorder="1" applyAlignment="1" applyProtection="1">
      <alignment horizontal="center"/>
      <protection hidden="1"/>
    </xf>
    <xf numFmtId="0" fontId="5" fillId="18" borderId="32" xfId="0" applyFont="1" applyFill="1" applyBorder="1" applyAlignment="1" applyProtection="1">
      <alignment horizontal="center"/>
      <protection hidden="1"/>
    </xf>
    <xf numFmtId="2" fontId="1" fillId="18" borderId="11" xfId="0" applyNumberFormat="1" applyFont="1" applyFill="1" applyBorder="1" applyProtection="1">
      <protection hidden="1"/>
    </xf>
    <xf numFmtId="2" fontId="1" fillId="18" borderId="10" xfId="0" applyNumberFormat="1" applyFont="1" applyFill="1" applyBorder="1" applyProtection="1">
      <protection hidden="1"/>
    </xf>
    <xf numFmtId="0" fontId="1" fillId="20" borderId="25" xfId="0" applyFont="1" applyFill="1" applyBorder="1" applyAlignment="1" applyProtection="1">
      <alignment horizontal="center"/>
      <protection hidden="1"/>
    </xf>
    <xf numFmtId="9" fontId="1" fillId="20" borderId="10" xfId="0" applyNumberFormat="1" applyFont="1" applyFill="1" applyBorder="1" applyAlignment="1" applyProtection="1">
      <alignment horizontal="center"/>
      <protection hidden="1"/>
    </xf>
    <xf numFmtId="0" fontId="5" fillId="0" borderId="0" xfId="0" applyFont="1"/>
    <xf numFmtId="2" fontId="12" fillId="0" borderId="10" xfId="0" applyNumberFormat="1" applyFont="1" applyBorder="1"/>
    <xf numFmtId="0" fontId="5" fillId="0" borderId="0" xfId="0" quotePrefix="1" applyFont="1"/>
    <xf numFmtId="2" fontId="11" fillId="0" borderId="26" xfId="0" applyNumberFormat="1" applyFont="1" applyFill="1" applyBorder="1" applyAlignment="1" applyProtection="1">
      <alignment horizontal="center"/>
      <protection locked="0" hidden="1"/>
    </xf>
    <xf numFmtId="2" fontId="11" fillId="0" borderId="34" xfId="0" applyNumberFormat="1" applyFont="1" applyFill="1" applyBorder="1" applyAlignment="1" applyProtection="1">
      <alignment horizontal="center"/>
      <protection locked="0" hidden="1"/>
    </xf>
    <xf numFmtId="2" fontId="21" fillId="0" borderId="34" xfId="0" applyNumberFormat="1" applyFont="1" applyBorder="1" applyProtection="1">
      <protection hidden="1"/>
    </xf>
    <xf numFmtId="2" fontId="21" fillId="0" borderId="11" xfId="0" applyNumberFormat="1" applyFont="1" applyBorder="1" applyProtection="1">
      <protection hidden="1"/>
    </xf>
    <xf numFmtId="2" fontId="11" fillId="0" borderId="11" xfId="0" applyNumberFormat="1" applyFont="1" applyFill="1" applyBorder="1" applyAlignment="1" applyProtection="1">
      <alignment horizontal="center"/>
      <protection locked="0" hidden="1"/>
    </xf>
    <xf numFmtId="0" fontId="17" fillId="0" borderId="0" xfId="0" applyFont="1" applyProtection="1">
      <protection hidden="1"/>
    </xf>
    <xf numFmtId="16" fontId="1" fillId="0" borderId="0" xfId="0" quotePrefix="1" applyNumberFormat="1" applyFont="1" applyFill="1" applyProtection="1">
      <protection hidden="1"/>
    </xf>
    <xf numFmtId="2" fontId="1" fillId="0" borderId="17" xfId="0" applyNumberFormat="1" applyFont="1" applyBorder="1" applyProtection="1">
      <protection hidden="1"/>
    </xf>
    <xf numFmtId="0" fontId="1" fillId="0" borderId="22" xfId="0" applyNumberFormat="1" applyFont="1" applyBorder="1" applyProtection="1">
      <protection hidden="1"/>
    </xf>
    <xf numFmtId="0" fontId="1" fillId="0" borderId="16" xfId="0" applyNumberFormat="1" applyFont="1" applyBorder="1" applyProtection="1">
      <protection hidden="1"/>
    </xf>
    <xf numFmtId="2" fontId="1" fillId="0" borderId="16" xfId="0" applyNumberFormat="1" applyFont="1" applyBorder="1" applyProtection="1">
      <protection hidden="1"/>
    </xf>
    <xf numFmtId="0" fontId="1" fillId="0" borderId="0" xfId="0" applyNumberFormat="1" applyFont="1" applyBorder="1" applyProtection="1">
      <protection hidden="1"/>
    </xf>
    <xf numFmtId="0" fontId="1" fillId="0" borderId="28" xfId="0" applyNumberFormat="1" applyFont="1" applyBorder="1" applyAlignment="1" applyProtection="1">
      <alignment horizontal="right"/>
      <protection hidden="1"/>
    </xf>
    <xf numFmtId="164" fontId="1" fillId="0" borderId="12" xfId="0" applyNumberFormat="1" applyFont="1" applyBorder="1" applyProtection="1">
      <protection hidden="1"/>
    </xf>
    <xf numFmtId="164" fontId="1" fillId="0" borderId="17" xfId="0" applyNumberFormat="1" applyFont="1" applyBorder="1" applyProtection="1">
      <protection hidden="1"/>
    </xf>
    <xf numFmtId="0" fontId="11" fillId="0" borderId="0" xfId="0" applyFont="1"/>
    <xf numFmtId="0" fontId="23" fillId="0" borderId="0" xfId="0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64" fontId="5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Continuous"/>
      <protection hidden="1"/>
    </xf>
    <xf numFmtId="0" fontId="2" fillId="0" borderId="25" xfId="0" applyFont="1" applyBorder="1" applyAlignment="1" applyProtection="1">
      <alignment horizontal="centerContinuous"/>
      <protection hidden="1"/>
    </xf>
    <xf numFmtId="0" fontId="1" fillId="0" borderId="23" xfId="0" quotePrefix="1" applyFont="1" applyBorder="1" applyAlignment="1" applyProtection="1">
      <alignment horizontal="centerContinuous"/>
      <protection hidden="1"/>
    </xf>
    <xf numFmtId="0" fontId="1" fillId="0" borderId="25" xfId="0" quotePrefix="1" applyFont="1" applyBorder="1" applyAlignment="1" applyProtection="1">
      <alignment horizontal="centerContinuous"/>
      <protection hidden="1"/>
    </xf>
    <xf numFmtId="0" fontId="1" fillId="0" borderId="23" xfId="0" applyFont="1" applyBorder="1" applyAlignment="1" applyProtection="1">
      <alignment horizontal="centerContinuous"/>
      <protection hidden="1"/>
    </xf>
    <xf numFmtId="0" fontId="1" fillId="0" borderId="25" xfId="0" applyFont="1" applyBorder="1" applyAlignment="1" applyProtection="1">
      <alignment horizontal="centerContinuous"/>
      <protection hidden="1"/>
    </xf>
    <xf numFmtId="0" fontId="24" fillId="0" borderId="0" xfId="0" applyFont="1" applyProtection="1">
      <protection hidden="1"/>
    </xf>
    <xf numFmtId="0" fontId="1" fillId="0" borderId="21" xfId="0" applyFont="1" applyBorder="1" applyAlignment="1" applyProtection="1">
      <alignment horizontal="right"/>
      <protection hidden="1"/>
    </xf>
    <xf numFmtId="0" fontId="1" fillId="17" borderId="12" xfId="0" applyFont="1" applyFill="1" applyBorder="1" applyAlignment="1" applyProtection="1">
      <alignment horizontal="center"/>
      <protection hidden="1"/>
    </xf>
    <xf numFmtId="0" fontId="1" fillId="17" borderId="19" xfId="0" applyFont="1" applyFill="1" applyBorder="1" applyAlignment="1" applyProtection="1">
      <alignment horizontal="center"/>
      <protection hidden="1"/>
    </xf>
    <xf numFmtId="0" fontId="2" fillId="17" borderId="22" xfId="0" applyFont="1" applyFill="1" applyBorder="1" applyAlignment="1" applyProtection="1">
      <alignment horizontal="center"/>
      <protection hidden="1"/>
    </xf>
    <xf numFmtId="0" fontId="1" fillId="0" borderId="25" xfId="0" quotePrefix="1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22" borderId="19" xfId="0" applyFont="1" applyFill="1" applyBorder="1" applyAlignment="1" applyProtection="1">
      <alignment horizontal="left"/>
      <protection hidden="1"/>
    </xf>
    <xf numFmtId="0" fontId="18" fillId="22" borderId="21" xfId="0" applyFont="1" applyFill="1" applyBorder="1" applyAlignment="1" applyProtection="1">
      <alignment horizontal="left"/>
      <protection hidden="1"/>
    </xf>
    <xf numFmtId="0" fontId="7" fillId="0" borderId="0" xfId="0" applyFont="1"/>
    <xf numFmtId="0" fontId="1" fillId="0" borderId="10" xfId="0" applyNumberFormat="1" applyFont="1" applyBorder="1" applyAlignment="1" applyProtection="1">
      <alignment horizontal="right"/>
      <protection hidden="1"/>
    </xf>
    <xf numFmtId="0" fontId="25" fillId="24" borderId="10" xfId="0" applyFont="1" applyFill="1" applyBorder="1" applyAlignment="1" applyProtection="1">
      <alignment horizontal="center"/>
      <protection locked="0"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center"/>
      <protection hidden="1"/>
    </xf>
    <xf numFmtId="0" fontId="1" fillId="0" borderId="28" xfId="0" applyNumberFormat="1" applyFont="1" applyBorder="1" applyProtection="1">
      <protection hidden="1"/>
    </xf>
    <xf numFmtId="164" fontId="1" fillId="0" borderId="13" xfId="0" applyNumberFormat="1" applyFont="1" applyBorder="1" applyProtection="1">
      <protection hidden="1"/>
    </xf>
    <xf numFmtId="164" fontId="1" fillId="0" borderId="18" xfId="0" applyNumberFormat="1" applyFont="1" applyBorder="1" applyProtection="1">
      <protection hidden="1"/>
    </xf>
    <xf numFmtId="2" fontId="1" fillId="20" borderId="11" xfId="0" applyNumberFormat="1" applyFont="1" applyFill="1" applyBorder="1" applyProtection="1">
      <protection hidden="1"/>
    </xf>
    <xf numFmtId="2" fontId="1" fillId="20" borderId="10" xfId="0" applyNumberFormat="1" applyFont="1" applyFill="1" applyBorder="1" applyProtection="1">
      <protection hidden="1"/>
    </xf>
    <xf numFmtId="2" fontId="1" fillId="20" borderId="10" xfId="0" applyNumberFormat="1" applyFont="1" applyFill="1" applyBorder="1" applyAlignment="1" applyProtection="1">
      <alignment horizontal="center"/>
      <protection locked="0" hidden="1"/>
    </xf>
    <xf numFmtId="0" fontId="1" fillId="0" borderId="35" xfId="0" applyFont="1" applyBorder="1" applyProtection="1">
      <protection hidden="1"/>
    </xf>
    <xf numFmtId="0" fontId="5" fillId="22" borderId="17" xfId="0" applyFont="1" applyFill="1" applyBorder="1" applyAlignment="1" applyProtection="1">
      <alignment horizontal="center"/>
      <protection hidden="1"/>
    </xf>
    <xf numFmtId="0" fontId="5" fillId="22" borderId="18" xfId="0" applyFont="1" applyFill="1" applyBorder="1" applyAlignment="1" applyProtection="1">
      <alignment horizontal="center"/>
      <protection hidden="1"/>
    </xf>
    <xf numFmtId="166" fontId="5" fillId="22" borderId="22" xfId="0" applyNumberFormat="1" applyFont="1" applyFill="1" applyBorder="1" applyAlignment="1" applyProtection="1">
      <alignment horizontal="center"/>
      <protection hidden="1"/>
    </xf>
    <xf numFmtId="166" fontId="5" fillId="22" borderId="18" xfId="0" applyNumberFormat="1" applyFont="1" applyFill="1" applyBorder="1" applyAlignment="1" applyProtection="1">
      <alignment horizontal="center"/>
      <protection hidden="1"/>
    </xf>
    <xf numFmtId="2" fontId="5" fillId="22" borderId="18" xfId="0" applyNumberFormat="1" applyFont="1" applyFill="1" applyBorder="1" applyProtection="1">
      <protection hidden="1"/>
    </xf>
    <xf numFmtId="0" fontId="11" fillId="22" borderId="26" xfId="0" applyFont="1" applyFill="1" applyBorder="1" applyAlignment="1" applyProtection="1">
      <alignment horizontal="center"/>
      <protection hidden="1"/>
    </xf>
    <xf numFmtId="0" fontId="11" fillId="22" borderId="34" xfId="0" applyFont="1" applyFill="1" applyBorder="1" applyAlignment="1" applyProtection="1">
      <alignment horizontal="center"/>
      <protection locked="0" hidden="1"/>
    </xf>
    <xf numFmtId="0" fontId="11" fillId="22" borderId="11" xfId="0" applyFont="1" applyFill="1" applyBorder="1" applyAlignment="1" applyProtection="1">
      <alignment horizontal="center"/>
      <protection locked="0" hidden="1"/>
    </xf>
    <xf numFmtId="0" fontId="21" fillId="22" borderId="26" xfId="0" applyFont="1" applyFill="1" applyBorder="1" applyAlignment="1" applyProtection="1">
      <alignment horizontal="center"/>
      <protection hidden="1"/>
    </xf>
    <xf numFmtId="0" fontId="21" fillId="22" borderId="11" xfId="0" applyFont="1" applyFill="1" applyBorder="1" applyAlignment="1" applyProtection="1">
      <alignment horizontal="center"/>
      <protection hidden="1"/>
    </xf>
    <xf numFmtId="0" fontId="5" fillId="22" borderId="10" xfId="0" applyFont="1" applyFill="1" applyBorder="1" applyProtection="1">
      <protection hidden="1"/>
    </xf>
    <xf numFmtId="0" fontId="5" fillId="22" borderId="11" xfId="0" applyFont="1" applyFill="1" applyBorder="1" applyProtection="1">
      <protection hidden="1"/>
    </xf>
    <xf numFmtId="1" fontId="5" fillId="20" borderId="23" xfId="0" applyNumberFormat="1" applyFont="1" applyFill="1" applyBorder="1" applyAlignment="1" applyProtection="1">
      <alignment horizontal="center"/>
      <protection hidden="1"/>
    </xf>
    <xf numFmtId="1" fontId="5" fillId="20" borderId="24" xfId="0" applyNumberFormat="1" applyFont="1" applyFill="1" applyBorder="1" applyAlignment="1" applyProtection="1">
      <alignment horizontal="center"/>
      <protection hidden="1"/>
    </xf>
    <xf numFmtId="1" fontId="5" fillId="20" borderId="25" xfId="0" applyNumberFormat="1" applyFont="1" applyFill="1" applyBorder="1" applyAlignment="1" applyProtection="1">
      <alignment horizontal="center"/>
      <protection hidden="1"/>
    </xf>
    <xf numFmtId="1" fontId="5" fillId="20" borderId="17" xfId="0" applyNumberFormat="1" applyFont="1" applyFill="1" applyBorder="1" applyAlignment="1" applyProtection="1">
      <alignment horizontal="center"/>
      <protection hidden="1"/>
    </xf>
    <xf numFmtId="1" fontId="5" fillId="20" borderId="18" xfId="0" applyNumberFormat="1" applyFont="1" applyFill="1" applyBorder="1" applyAlignment="1" applyProtection="1">
      <alignment horizontal="center"/>
      <protection hidden="1"/>
    </xf>
    <xf numFmtId="1" fontId="5" fillId="20" borderId="22" xfId="0" applyNumberFormat="1" applyFont="1" applyFill="1" applyBorder="1" applyAlignment="1" applyProtection="1">
      <alignment horizontal="center"/>
      <protection hidden="1"/>
    </xf>
    <xf numFmtId="2" fontId="5" fillId="20" borderId="23" xfId="0" applyNumberFormat="1" applyFont="1" applyFill="1" applyBorder="1" applyProtection="1">
      <protection hidden="1"/>
    </xf>
    <xf numFmtId="0" fontId="5" fillId="20" borderId="25" xfId="0" applyFont="1" applyFill="1" applyBorder="1"/>
    <xf numFmtId="2" fontId="5" fillId="20" borderId="25" xfId="0" applyNumberFormat="1" applyFont="1" applyFill="1" applyBorder="1" applyProtection="1">
      <protection hidden="1"/>
    </xf>
    <xf numFmtId="2" fontId="5" fillId="20" borderId="17" xfId="0" applyNumberFormat="1" applyFont="1" applyFill="1" applyBorder="1" applyProtection="1">
      <protection hidden="1"/>
    </xf>
    <xf numFmtId="2" fontId="5" fillId="20" borderId="22" xfId="0" applyNumberFormat="1" applyFont="1" applyFill="1" applyBorder="1" applyProtection="1">
      <protection hidden="1"/>
    </xf>
    <xf numFmtId="1" fontId="5" fillId="19" borderId="23" xfId="0" applyNumberFormat="1" applyFont="1" applyFill="1" applyBorder="1" applyAlignment="1" applyProtection="1">
      <alignment horizontal="center"/>
      <protection hidden="1"/>
    </xf>
    <xf numFmtId="1" fontId="5" fillId="19" borderId="24" xfId="0" applyNumberFormat="1" applyFont="1" applyFill="1" applyBorder="1" applyAlignment="1" applyProtection="1">
      <alignment horizontal="center"/>
      <protection hidden="1"/>
    </xf>
    <xf numFmtId="1" fontId="5" fillId="19" borderId="25" xfId="0" applyNumberFormat="1" applyFont="1" applyFill="1" applyBorder="1" applyAlignment="1" applyProtection="1">
      <alignment horizontal="center"/>
      <protection hidden="1"/>
    </xf>
    <xf numFmtId="1" fontId="5" fillId="19" borderId="17" xfId="0" applyNumberFormat="1" applyFont="1" applyFill="1" applyBorder="1" applyAlignment="1" applyProtection="1">
      <alignment horizontal="center"/>
      <protection hidden="1"/>
    </xf>
    <xf numFmtId="1" fontId="5" fillId="19" borderId="18" xfId="0" applyNumberFormat="1" applyFont="1" applyFill="1" applyBorder="1" applyAlignment="1" applyProtection="1">
      <alignment horizontal="center"/>
      <protection hidden="1"/>
    </xf>
    <xf numFmtId="1" fontId="5" fillId="19" borderId="22" xfId="0" applyNumberFormat="1" applyFont="1" applyFill="1" applyBorder="1" applyAlignment="1" applyProtection="1">
      <alignment horizontal="center"/>
      <protection hidden="1"/>
    </xf>
    <xf numFmtId="2" fontId="5" fillId="19" borderId="23" xfId="0" applyNumberFormat="1" applyFont="1" applyFill="1" applyBorder="1" applyProtection="1">
      <protection hidden="1"/>
    </xf>
    <xf numFmtId="0" fontId="1" fillId="19" borderId="25" xfId="0" applyFont="1" applyFill="1" applyBorder="1" applyProtection="1">
      <protection locked="0" hidden="1"/>
    </xf>
    <xf numFmtId="0" fontId="5" fillId="19" borderId="25" xfId="0" applyFont="1" applyFill="1" applyBorder="1" applyProtection="1">
      <protection locked="0" hidden="1"/>
    </xf>
    <xf numFmtId="0" fontId="5" fillId="19" borderId="25" xfId="0" applyFont="1" applyFill="1" applyBorder="1" applyProtection="1">
      <protection hidden="1"/>
    </xf>
    <xf numFmtId="0" fontId="0" fillId="19" borderId="25" xfId="0" applyFill="1" applyBorder="1" applyProtection="1">
      <protection hidden="1"/>
    </xf>
    <xf numFmtId="0" fontId="0" fillId="19" borderId="25" xfId="0" applyFill="1" applyBorder="1"/>
    <xf numFmtId="2" fontId="5" fillId="19" borderId="17" xfId="0" applyNumberFormat="1" applyFont="1" applyFill="1" applyBorder="1" applyProtection="1">
      <protection hidden="1"/>
    </xf>
    <xf numFmtId="0" fontId="0" fillId="19" borderId="22" xfId="0" applyFill="1" applyBorder="1"/>
    <xf numFmtId="2" fontId="21" fillId="0" borderId="26" xfId="0" applyNumberFormat="1" applyFont="1" applyBorder="1" applyProtection="1">
      <protection hidden="1"/>
    </xf>
    <xf numFmtId="0" fontId="2" fillId="17" borderId="11" xfId="0" applyFont="1" applyFill="1" applyBorder="1" applyProtection="1">
      <protection hidden="1"/>
    </xf>
    <xf numFmtId="20" fontId="26" fillId="0" borderId="25" xfId="0" applyNumberFormat="1" applyFont="1" applyBorder="1" applyProtection="1">
      <protection locked="0" hidden="1"/>
    </xf>
    <xf numFmtId="0" fontId="1" fillId="0" borderId="12" xfId="0" applyFont="1" applyFill="1" applyBorder="1" applyAlignment="1" applyProtection="1">
      <alignment horizontal="centerContinuous"/>
      <protection hidden="1"/>
    </xf>
    <xf numFmtId="0" fontId="1" fillId="0" borderId="13" xfId="0" applyFont="1" applyFill="1" applyBorder="1" applyAlignment="1" applyProtection="1">
      <alignment horizontal="centerContinuous"/>
      <protection hidden="1"/>
    </xf>
    <xf numFmtId="0" fontId="1" fillId="20" borderId="23" xfId="0" applyFont="1" applyFill="1" applyBorder="1" applyAlignment="1" applyProtection="1">
      <alignment horizontal="centerContinuous"/>
      <protection hidden="1"/>
    </xf>
    <xf numFmtId="0" fontId="1" fillId="20" borderId="25" xfId="0" applyFont="1" applyFill="1" applyBorder="1" applyAlignment="1" applyProtection="1">
      <alignment horizontal="centerContinuous"/>
      <protection hidden="1"/>
    </xf>
    <xf numFmtId="0" fontId="1" fillId="0" borderId="17" xfId="0" applyFont="1" applyFill="1" applyBorder="1" applyAlignment="1" applyProtection="1">
      <alignment horizontal="centerContinuous"/>
      <protection hidden="1"/>
    </xf>
    <xf numFmtId="0" fontId="1" fillId="0" borderId="18" xfId="0" applyFont="1" applyFill="1" applyBorder="1" applyAlignment="1" applyProtection="1">
      <alignment horizontal="centerContinuous"/>
      <protection hidden="1"/>
    </xf>
    <xf numFmtId="0" fontId="1" fillId="0" borderId="22" xfId="0" applyFont="1" applyFill="1" applyBorder="1" applyAlignment="1" applyProtection="1">
      <alignment horizontal="centerContinuous"/>
      <protection hidden="1"/>
    </xf>
    <xf numFmtId="2" fontId="1" fillId="0" borderId="17" xfId="0" applyNumberFormat="1" applyFont="1" applyFill="1" applyBorder="1" applyAlignment="1" applyProtection="1">
      <alignment horizontal="centerContinuous" vertical="justify"/>
      <protection hidden="1"/>
    </xf>
    <xf numFmtId="2" fontId="1" fillId="0" borderId="18" xfId="0" applyNumberFormat="1" applyFont="1" applyFill="1" applyBorder="1" applyAlignment="1" applyProtection="1">
      <alignment horizontal="centerContinuous" vertical="justify"/>
      <protection hidden="1"/>
    </xf>
    <xf numFmtId="2" fontId="1" fillId="0" borderId="22" xfId="0" applyNumberFormat="1" applyFont="1" applyFill="1" applyBorder="1" applyAlignment="1" applyProtection="1">
      <alignment horizontal="centerContinuous" vertical="justify"/>
      <protection hidden="1"/>
    </xf>
    <xf numFmtId="2" fontId="17" fillId="22" borderId="12" xfId="0" applyNumberFormat="1" applyFont="1" applyFill="1" applyBorder="1" applyAlignment="1" applyProtection="1">
      <alignment horizontal="centerContinuous"/>
      <protection hidden="1"/>
    </xf>
    <xf numFmtId="2" fontId="17" fillId="22" borderId="13" xfId="0" applyNumberFormat="1" applyFont="1" applyFill="1" applyBorder="1" applyAlignment="1" applyProtection="1">
      <alignment horizontal="centerContinuous"/>
      <protection hidden="1"/>
    </xf>
    <xf numFmtId="2" fontId="17" fillId="22" borderId="19" xfId="0" applyNumberFormat="1" applyFont="1" applyFill="1" applyBorder="1" applyAlignment="1" applyProtection="1">
      <alignment horizontal="centerContinuous"/>
      <protection hidden="1"/>
    </xf>
    <xf numFmtId="166" fontId="17" fillId="22" borderId="12" xfId="0" applyNumberFormat="1" applyFont="1" applyFill="1" applyBorder="1" applyAlignment="1" applyProtection="1">
      <alignment horizontal="centerContinuous"/>
      <protection hidden="1"/>
    </xf>
    <xf numFmtId="166" fontId="17" fillId="22" borderId="13" xfId="0" applyNumberFormat="1" applyFont="1" applyFill="1" applyBorder="1" applyAlignment="1" applyProtection="1">
      <alignment horizontal="centerContinuous"/>
      <protection hidden="1"/>
    </xf>
    <xf numFmtId="166" fontId="17" fillId="22" borderId="19" xfId="0" applyNumberFormat="1" applyFont="1" applyFill="1" applyBorder="1" applyAlignment="1" applyProtection="1">
      <alignment horizontal="centerContinuous"/>
      <protection hidden="1"/>
    </xf>
    <xf numFmtId="2" fontId="17" fillId="22" borderId="23" xfId="0" applyNumberFormat="1" applyFont="1" applyFill="1" applyBorder="1" applyAlignment="1" applyProtection="1">
      <alignment horizontal="left"/>
      <protection hidden="1"/>
    </xf>
    <xf numFmtId="2" fontId="17" fillId="22" borderId="25" xfId="0" applyNumberFormat="1" applyFont="1" applyFill="1" applyBorder="1" applyAlignment="1" applyProtection="1">
      <alignment horizontal="left"/>
      <protection hidden="1"/>
    </xf>
    <xf numFmtId="2" fontId="17" fillId="22" borderId="24" xfId="0" applyNumberFormat="1" applyFont="1" applyFill="1" applyBorder="1" applyAlignment="1" applyProtection="1">
      <alignment horizontal="left"/>
      <protection hidden="1"/>
    </xf>
    <xf numFmtId="0" fontId="6" fillId="0" borderId="23" xfId="0" applyFont="1" applyBorder="1" applyAlignment="1" applyProtection="1">
      <alignment horizontal="center"/>
      <protection locked="0" hidden="1"/>
    </xf>
    <xf numFmtId="0" fontId="6" fillId="0" borderId="17" xfId="0" applyFont="1" applyBorder="1" applyAlignment="1" applyProtection="1">
      <alignment horizontal="center"/>
      <protection locked="0" hidden="1"/>
    </xf>
    <xf numFmtId="0" fontId="6" fillId="0" borderId="12" xfId="0" applyFont="1" applyBorder="1" applyAlignment="1" applyProtection="1">
      <alignment horizontal="center"/>
      <protection locked="0" hidden="1"/>
    </xf>
    <xf numFmtId="0" fontId="6" fillId="0" borderId="16" xfId="0" applyFont="1" applyBorder="1" applyAlignment="1" applyProtection="1">
      <alignment horizontal="center"/>
      <protection locked="0" hidden="1"/>
    </xf>
    <xf numFmtId="0" fontId="6" fillId="0" borderId="30" xfId="0" quotePrefix="1" applyNumberFormat="1" applyFont="1" applyBorder="1" applyAlignment="1" applyProtection="1">
      <alignment horizontal="center"/>
      <protection locked="0" hidden="1"/>
    </xf>
    <xf numFmtId="0" fontId="12" fillId="0" borderId="21" xfId="0" applyFont="1" applyBorder="1" applyProtection="1">
      <protection locked="0" hidden="1"/>
    </xf>
    <xf numFmtId="0" fontId="12" fillId="0" borderId="20" xfId="0" applyFont="1" applyBorder="1" applyProtection="1">
      <protection locked="0" hidden="1"/>
    </xf>
    <xf numFmtId="2" fontId="0" fillId="0" borderId="0" xfId="0" applyNumberFormat="1" applyAlignment="1" applyProtection="1">
      <alignment horizontal="left"/>
      <protection hidden="1"/>
    </xf>
    <xf numFmtId="164" fontId="1" fillId="19" borderId="1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65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2" fontId="8" fillId="0" borderId="0" xfId="0" applyNumberFormat="1" applyFont="1" applyProtection="1"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Continuous" vertical="center"/>
      <protection hidden="1"/>
    </xf>
    <xf numFmtId="2" fontId="8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8" fillId="0" borderId="0" xfId="0" applyFont="1" applyFill="1" applyBorder="1" applyProtection="1">
      <protection hidden="1"/>
    </xf>
    <xf numFmtId="2" fontId="8" fillId="0" borderId="0" xfId="0" applyNumberFormat="1" applyFont="1" applyFill="1" applyBorder="1" applyAlignment="1" applyProtection="1">
      <alignment horizontal="right"/>
      <protection hidden="1"/>
    </xf>
    <xf numFmtId="0" fontId="46" fillId="0" borderId="0" xfId="0" applyFont="1" applyFill="1" applyBorder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right"/>
      <protection hidden="1"/>
    </xf>
    <xf numFmtId="164" fontId="1" fillId="25" borderId="10" xfId="0" applyNumberFormat="1" applyFont="1" applyFill="1" applyBorder="1" applyAlignment="1" applyProtection="1">
      <alignment horizontal="center"/>
      <protection locked="0" hidden="1"/>
    </xf>
    <xf numFmtId="164" fontId="1" fillId="25" borderId="10" xfId="0" applyNumberFormat="1" applyFont="1" applyFill="1" applyBorder="1" applyAlignment="1" applyProtection="1">
      <alignment horizontal="center"/>
      <protection hidden="1"/>
    </xf>
    <xf numFmtId="0" fontId="1" fillId="25" borderId="10" xfId="0" applyFont="1" applyFill="1" applyBorder="1" applyProtection="1">
      <protection hidden="1"/>
    </xf>
    <xf numFmtId="16" fontId="1" fillId="25" borderId="11" xfId="0" quotePrefix="1" applyNumberFormat="1" applyFont="1" applyFill="1" applyBorder="1" applyAlignment="1" applyProtection="1">
      <alignment horizontal="right"/>
      <protection hidden="1"/>
    </xf>
    <xf numFmtId="0" fontId="1" fillId="25" borderId="11" xfId="0" applyNumberFormat="1" applyFont="1" applyFill="1" applyBorder="1" applyAlignment="1" applyProtection="1">
      <alignment horizontal="center"/>
      <protection locked="0" hidden="1"/>
    </xf>
    <xf numFmtId="164" fontId="1" fillId="25" borderId="11" xfId="0" applyNumberFormat="1" applyFont="1" applyFill="1" applyBorder="1" applyAlignment="1" applyProtection="1">
      <alignment horizontal="center"/>
      <protection locked="0" hidden="1"/>
    </xf>
    <xf numFmtId="164" fontId="1" fillId="25" borderId="11" xfId="0" applyNumberFormat="1" applyFont="1" applyFill="1" applyBorder="1" applyAlignment="1" applyProtection="1">
      <alignment horizontal="center"/>
      <protection hidden="1"/>
    </xf>
    <xf numFmtId="0" fontId="1" fillId="25" borderId="23" xfId="0" applyNumberFormat="1" applyFont="1" applyFill="1" applyBorder="1" applyAlignment="1" applyProtection="1">
      <alignment horizontal="center"/>
      <protection hidden="1"/>
    </xf>
    <xf numFmtId="164" fontId="1" fillId="25" borderId="22" xfId="0" applyNumberFormat="1" applyFont="1" applyFill="1" applyBorder="1" applyAlignment="1" applyProtection="1">
      <alignment horizontal="center"/>
      <protection hidden="1"/>
    </xf>
    <xf numFmtId="0" fontId="1" fillId="25" borderId="10" xfId="0" applyFont="1" applyFill="1" applyBorder="1" applyAlignment="1" applyProtection="1">
      <alignment horizontal="center"/>
      <protection locked="0" hidden="1"/>
    </xf>
    <xf numFmtId="0" fontId="1" fillId="25" borderId="10" xfId="0" applyNumberFormat="1" applyFont="1" applyFill="1" applyBorder="1" applyAlignment="1" applyProtection="1">
      <alignment horizontal="center"/>
      <protection locked="0" hidden="1"/>
    </xf>
    <xf numFmtId="16" fontId="1" fillId="25" borderId="10" xfId="0" quotePrefix="1" applyNumberFormat="1" applyFont="1" applyFill="1" applyBorder="1" applyAlignment="1" applyProtection="1">
      <alignment horizontal="right"/>
      <protection hidden="1"/>
    </xf>
    <xf numFmtId="164" fontId="1" fillId="25" borderId="25" xfId="0" applyNumberFormat="1" applyFont="1" applyFill="1" applyBorder="1" applyAlignment="1" applyProtection="1">
      <alignment horizontal="center"/>
      <protection hidden="1"/>
    </xf>
    <xf numFmtId="0" fontId="1" fillId="25" borderId="17" xfId="0" applyNumberFormat="1" applyFont="1" applyFill="1" applyBorder="1" applyAlignment="1" applyProtection="1">
      <alignment horizontal="center"/>
      <protection hidden="1"/>
    </xf>
    <xf numFmtId="0" fontId="1" fillId="25" borderId="11" xfId="0" applyFont="1" applyFill="1" applyBorder="1" applyAlignment="1" applyProtection="1">
      <alignment horizontal="center"/>
      <protection locked="0" hidden="1"/>
    </xf>
    <xf numFmtId="0" fontId="1" fillId="0" borderId="0" xfId="0" applyFont="1" applyFill="1" applyProtection="1">
      <protection locked="0" hidden="1"/>
    </xf>
    <xf numFmtId="0" fontId="0" fillId="0" borderId="0" xfId="0" applyFill="1"/>
    <xf numFmtId="0" fontId="47" fillId="0" borderId="0" xfId="0" applyFont="1" applyProtection="1">
      <protection hidden="1"/>
    </xf>
    <xf numFmtId="0" fontId="1" fillId="25" borderId="23" xfId="0" applyNumberFormat="1" applyFont="1" applyFill="1" applyBorder="1" applyAlignment="1" applyProtection="1">
      <alignment horizontal="right"/>
      <protection hidden="1"/>
    </xf>
    <xf numFmtId="164" fontId="22" fillId="25" borderId="0" xfId="0" applyNumberFormat="1" applyFont="1" applyFill="1"/>
    <xf numFmtId="164" fontId="22" fillId="25" borderId="0" xfId="0" applyNumberFormat="1" applyFont="1" applyFill="1" applyAlignment="1">
      <alignment horizontal="center"/>
    </xf>
    <xf numFmtId="164" fontId="1" fillId="25" borderId="0" xfId="0" applyNumberFormat="1" applyFont="1" applyFill="1" applyProtection="1">
      <protection hidden="1"/>
    </xf>
    <xf numFmtId="0" fontId="1" fillId="25" borderId="0" xfId="0" applyNumberFormat="1" applyFont="1" applyFill="1" applyProtection="1">
      <protection hidden="1"/>
    </xf>
    <xf numFmtId="0" fontId="1" fillId="25" borderId="0" xfId="0" applyFont="1" applyFill="1" applyProtection="1">
      <protection hidden="1"/>
    </xf>
    <xf numFmtId="0" fontId="1" fillId="25" borderId="0" xfId="0" applyNumberFormat="1" applyFont="1" applyFill="1" applyAlignment="1" applyProtection="1">
      <alignment horizontal="center"/>
      <protection hidden="1"/>
    </xf>
    <xf numFmtId="0" fontId="22" fillId="25" borderId="0" xfId="0" applyFont="1" applyFill="1"/>
    <xf numFmtId="0" fontId="1" fillId="25" borderId="10" xfId="0" applyNumberFormat="1" applyFont="1" applyFill="1" applyBorder="1" applyAlignment="1" applyProtection="1">
      <alignment horizontal="right"/>
      <protection locked="0" hidden="1"/>
    </xf>
    <xf numFmtId="2" fontId="1" fillId="0" borderId="21" xfId="0" applyNumberFormat="1" applyFont="1" applyBorder="1" applyProtection="1">
      <protection hidden="1"/>
    </xf>
    <xf numFmtId="4" fontId="1" fillId="0" borderId="22" xfId="0" applyNumberFormat="1" applyFont="1" applyBorder="1" applyProtection="1">
      <protection hidden="1"/>
    </xf>
    <xf numFmtId="0" fontId="1" fillId="26" borderId="10" xfId="0" applyFont="1" applyFill="1" applyBorder="1" applyProtection="1">
      <protection hidden="1"/>
    </xf>
    <xf numFmtId="16" fontId="1" fillId="26" borderId="10" xfId="0" quotePrefix="1" applyNumberFormat="1" applyFont="1" applyFill="1" applyBorder="1" applyAlignment="1" applyProtection="1">
      <alignment horizontal="right"/>
      <protection hidden="1"/>
    </xf>
    <xf numFmtId="0" fontId="1" fillId="26" borderId="10" xfId="0" applyNumberFormat="1" applyFont="1" applyFill="1" applyBorder="1" applyAlignment="1" applyProtection="1">
      <alignment horizontal="center"/>
      <protection locked="0" hidden="1"/>
    </xf>
    <xf numFmtId="164" fontId="1" fillId="26" borderId="10" xfId="0" applyNumberFormat="1" applyFont="1" applyFill="1" applyBorder="1" applyAlignment="1" applyProtection="1">
      <alignment horizontal="center"/>
      <protection locked="0" hidden="1"/>
    </xf>
    <xf numFmtId="164" fontId="1" fillId="26" borderId="10" xfId="0" applyNumberFormat="1" applyFont="1" applyFill="1" applyBorder="1" applyAlignment="1" applyProtection="1">
      <alignment horizontal="center"/>
      <protection hidden="1"/>
    </xf>
    <xf numFmtId="164" fontId="1" fillId="26" borderId="25" xfId="0" applyNumberFormat="1" applyFont="1" applyFill="1" applyBorder="1" applyAlignment="1" applyProtection="1">
      <alignment horizontal="center"/>
      <protection hidden="1"/>
    </xf>
    <xf numFmtId="0" fontId="1" fillId="26" borderId="10" xfId="0" applyFont="1" applyFill="1" applyBorder="1" applyAlignment="1" applyProtection="1">
      <alignment horizontal="center"/>
      <protection locked="0" hidden="1"/>
    </xf>
    <xf numFmtId="0" fontId="1" fillId="26" borderId="11" xfId="0" applyNumberFormat="1" applyFont="1" applyFill="1" applyBorder="1" applyAlignment="1" applyProtection="1">
      <alignment horizontal="center"/>
      <protection locked="0" hidden="1"/>
    </xf>
    <xf numFmtId="164" fontId="1" fillId="26" borderId="11" xfId="0" applyNumberFormat="1" applyFont="1" applyFill="1" applyBorder="1" applyAlignment="1" applyProtection="1">
      <alignment horizontal="center"/>
      <protection locked="0" hidden="1"/>
    </xf>
    <xf numFmtId="164" fontId="1" fillId="26" borderId="11" xfId="0" applyNumberFormat="1" applyFont="1" applyFill="1" applyBorder="1" applyAlignment="1" applyProtection="1">
      <alignment horizontal="center"/>
      <protection hidden="1"/>
    </xf>
    <xf numFmtId="0" fontId="1" fillId="26" borderId="23" xfId="0" applyNumberFormat="1" applyFont="1" applyFill="1" applyBorder="1" applyAlignment="1" applyProtection="1">
      <alignment horizontal="center"/>
      <protection hidden="1"/>
    </xf>
    <xf numFmtId="164" fontId="1" fillId="26" borderId="22" xfId="0" applyNumberFormat="1" applyFont="1" applyFill="1" applyBorder="1" applyAlignment="1" applyProtection="1">
      <alignment horizontal="center"/>
      <protection hidden="1"/>
    </xf>
    <xf numFmtId="164" fontId="22" fillId="26" borderId="0" xfId="0" applyNumberFormat="1" applyFont="1" applyFill="1"/>
    <xf numFmtId="164" fontId="22" fillId="26" borderId="0" xfId="0" applyNumberFormat="1" applyFont="1" applyFill="1" applyAlignment="1">
      <alignment horizontal="center"/>
    </xf>
    <xf numFmtId="164" fontId="1" fillId="26" borderId="0" xfId="0" applyNumberFormat="1" applyFont="1" applyFill="1" applyProtection="1">
      <protection hidden="1"/>
    </xf>
    <xf numFmtId="0" fontId="1" fillId="26" borderId="0" xfId="0" applyNumberFormat="1" applyFont="1" applyFill="1" applyProtection="1">
      <protection hidden="1"/>
    </xf>
    <xf numFmtId="0" fontId="1" fillId="26" borderId="0" xfId="0" applyFont="1" applyFill="1" applyProtection="1">
      <protection hidden="1"/>
    </xf>
    <xf numFmtId="0" fontId="1" fillId="26" borderId="0" xfId="0" applyNumberFormat="1" applyFont="1" applyFill="1" applyAlignment="1" applyProtection="1">
      <alignment horizontal="center"/>
      <protection hidden="1"/>
    </xf>
    <xf numFmtId="0" fontId="22" fillId="26" borderId="0" xfId="0" applyFont="1" applyFill="1"/>
    <xf numFmtId="164" fontId="1" fillId="26" borderId="10" xfId="0" applyNumberFormat="1" applyFont="1" applyFill="1" applyBorder="1" applyProtection="1">
      <protection locked="0" hidden="1"/>
    </xf>
    <xf numFmtId="0" fontId="18" fillId="18" borderId="10" xfId="0" applyFont="1" applyFill="1" applyBorder="1" applyAlignment="1" applyProtection="1">
      <alignment horizontal="center"/>
      <protection locked="0" hidden="1"/>
    </xf>
    <xf numFmtId="0" fontId="49" fillId="26" borderId="13" xfId="0" applyFont="1" applyFill="1" applyBorder="1" applyAlignment="1" applyProtection="1">
      <alignment horizontal="center"/>
      <protection hidden="1"/>
    </xf>
    <xf numFmtId="0" fontId="49" fillId="26" borderId="18" xfId="0" applyFont="1" applyFill="1" applyBorder="1" applyAlignment="1" applyProtection="1">
      <alignment horizontal="center"/>
      <protection hidden="1"/>
    </xf>
    <xf numFmtId="0" fontId="49" fillId="26" borderId="16" xfId="0" applyFont="1" applyFill="1" applyBorder="1" applyAlignment="1" applyProtection="1">
      <alignment horizontal="center"/>
      <protection hidden="1"/>
    </xf>
    <xf numFmtId="0" fontId="49" fillId="26" borderId="0" xfId="0" applyFont="1" applyFill="1" applyAlignment="1" applyProtection="1">
      <alignment horizontal="center"/>
      <protection hidden="1"/>
    </xf>
    <xf numFmtId="0" fontId="49" fillId="26" borderId="21" xfId="0" applyFont="1" applyFill="1" applyBorder="1" applyAlignment="1" applyProtection="1">
      <alignment horizontal="center"/>
      <protection hidden="1"/>
    </xf>
    <xf numFmtId="0" fontId="49" fillId="26" borderId="12" xfId="0" applyFont="1" applyFill="1" applyBorder="1" applyAlignment="1" applyProtection="1">
      <alignment horizontal="center"/>
      <protection hidden="1"/>
    </xf>
    <xf numFmtId="0" fontId="49" fillId="26" borderId="19" xfId="0" applyFont="1" applyFill="1" applyBorder="1" applyAlignment="1" applyProtection="1">
      <alignment horizontal="center"/>
      <protection hidden="1"/>
    </xf>
    <xf numFmtId="0" fontId="49" fillId="26" borderId="17" xfId="0" applyFont="1" applyFill="1" applyBorder="1" applyAlignment="1" applyProtection="1">
      <alignment horizontal="center"/>
      <protection hidden="1"/>
    </xf>
    <xf numFmtId="0" fontId="49" fillId="26" borderId="22" xfId="0" applyFont="1" applyFill="1" applyBorder="1" applyAlignment="1" applyProtection="1">
      <alignment horizontal="center"/>
      <protection hidden="1"/>
    </xf>
    <xf numFmtId="0" fontId="49" fillId="26" borderId="23" xfId="0" applyFont="1" applyFill="1" applyBorder="1" applyAlignment="1" applyProtection="1">
      <alignment horizontal="center"/>
      <protection hidden="1"/>
    </xf>
    <xf numFmtId="0" fontId="49" fillId="26" borderId="24" xfId="0" applyFont="1" applyFill="1" applyBorder="1" applyAlignment="1" applyProtection="1">
      <alignment horizontal="center"/>
      <protection hidden="1"/>
    </xf>
    <xf numFmtId="0" fontId="49" fillId="26" borderId="25" xfId="0" applyFont="1" applyFill="1" applyBorder="1" applyAlignment="1" applyProtection="1">
      <alignment horizontal="center"/>
      <protection hidden="1"/>
    </xf>
    <xf numFmtId="2" fontId="19" fillId="0" borderId="10" xfId="0" applyNumberFormat="1" applyFont="1" applyBorder="1" applyAlignment="1" applyProtection="1">
      <alignment horizontal="right"/>
      <protection locked="0" hidden="1"/>
    </xf>
    <xf numFmtId="0" fontId="12" fillId="0" borderId="0" xfId="0" applyFont="1" applyProtection="1">
      <protection hidden="1"/>
    </xf>
    <xf numFmtId="0" fontId="51" fillId="0" borderId="0" xfId="0" applyFont="1" applyProtection="1">
      <protection hidden="1"/>
    </xf>
    <xf numFmtId="0" fontId="1" fillId="25" borderId="10" xfId="0" applyFont="1" applyFill="1" applyBorder="1" applyAlignment="1" applyProtection="1">
      <alignment horizontal="center"/>
      <protection hidden="1"/>
    </xf>
    <xf numFmtId="0" fontId="1" fillId="27" borderId="10" xfId="0" applyFont="1" applyFill="1" applyBorder="1" applyProtection="1">
      <protection hidden="1"/>
    </xf>
    <xf numFmtId="16" fontId="1" fillId="27" borderId="10" xfId="0" quotePrefix="1" applyNumberFormat="1" applyFont="1" applyFill="1" applyBorder="1" applyAlignment="1" applyProtection="1">
      <alignment horizontal="right"/>
      <protection hidden="1"/>
    </xf>
    <xf numFmtId="0" fontId="1" fillId="27" borderId="10" xfId="0" applyNumberFormat="1" applyFont="1" applyFill="1" applyBorder="1" applyAlignment="1" applyProtection="1">
      <alignment horizontal="center"/>
      <protection locked="0" hidden="1"/>
    </xf>
    <xf numFmtId="164" fontId="1" fillId="27" borderId="10" xfId="0" applyNumberFormat="1" applyFont="1" applyFill="1" applyBorder="1" applyAlignment="1" applyProtection="1">
      <alignment horizontal="center"/>
      <protection locked="0" hidden="1"/>
    </xf>
    <xf numFmtId="164" fontId="1" fillId="27" borderId="10" xfId="0" applyNumberFormat="1" applyFont="1" applyFill="1" applyBorder="1" applyAlignment="1" applyProtection="1">
      <alignment horizontal="center"/>
      <protection hidden="1"/>
    </xf>
    <xf numFmtId="0" fontId="1" fillId="27" borderId="23" xfId="0" applyNumberFormat="1" applyFont="1" applyFill="1" applyBorder="1" applyAlignment="1" applyProtection="1">
      <alignment horizontal="right"/>
      <protection hidden="1"/>
    </xf>
    <xf numFmtId="164" fontId="1" fillId="27" borderId="25" xfId="0" applyNumberFormat="1" applyFont="1" applyFill="1" applyBorder="1" applyAlignment="1" applyProtection="1">
      <alignment horizontal="center"/>
      <protection hidden="1"/>
    </xf>
    <xf numFmtId="0" fontId="1" fillId="27" borderId="10" xfId="0" applyFont="1" applyFill="1" applyBorder="1" applyAlignment="1" applyProtection="1">
      <alignment horizontal="center"/>
      <protection locked="0" hidden="1"/>
    </xf>
    <xf numFmtId="164" fontId="22" fillId="27" borderId="0" xfId="0" applyNumberFormat="1" applyFont="1" applyFill="1"/>
    <xf numFmtId="164" fontId="22" fillId="27" borderId="0" xfId="0" applyNumberFormat="1" applyFont="1" applyFill="1" applyAlignment="1">
      <alignment horizontal="center"/>
    </xf>
    <xf numFmtId="164" fontId="1" fillId="27" borderId="0" xfId="0" applyNumberFormat="1" applyFont="1" applyFill="1" applyProtection="1">
      <protection hidden="1"/>
    </xf>
    <xf numFmtId="0" fontId="1" fillId="27" borderId="0" xfId="0" applyNumberFormat="1" applyFont="1" applyFill="1" applyProtection="1">
      <protection hidden="1"/>
    </xf>
    <xf numFmtId="0" fontId="1" fillId="27" borderId="0" xfId="0" applyFont="1" applyFill="1" applyProtection="1">
      <protection hidden="1"/>
    </xf>
    <xf numFmtId="0" fontId="1" fillId="27" borderId="0" xfId="0" applyNumberFormat="1" applyFont="1" applyFill="1" applyAlignment="1" applyProtection="1">
      <alignment horizontal="center"/>
      <protection hidden="1"/>
    </xf>
    <xf numFmtId="0" fontId="22" fillId="27" borderId="0" xfId="0" applyFont="1" applyFill="1"/>
    <xf numFmtId="164" fontId="2" fillId="27" borderId="10" xfId="0" applyNumberFormat="1" applyFont="1" applyFill="1" applyBorder="1" applyAlignment="1" applyProtection="1">
      <alignment horizontal="center"/>
      <protection locked="0" hidden="1"/>
    </xf>
    <xf numFmtId="0" fontId="1" fillId="27" borderId="23" xfId="0" applyNumberFormat="1" applyFont="1" applyFill="1" applyBorder="1" applyAlignment="1" applyProtection="1">
      <alignment horizontal="center"/>
      <protection hidden="1"/>
    </xf>
    <xf numFmtId="0" fontId="1" fillId="27" borderId="10" xfId="0" applyNumberFormat="1" applyFont="1" applyFill="1" applyBorder="1" applyAlignment="1" applyProtection="1">
      <alignment horizontal="right"/>
      <protection locked="0" hidden="1"/>
    </xf>
    <xf numFmtId="16" fontId="1" fillId="27" borderId="11" xfId="0" quotePrefix="1" applyNumberFormat="1" applyFont="1" applyFill="1" applyBorder="1" applyAlignment="1" applyProtection="1">
      <alignment horizontal="right"/>
      <protection hidden="1"/>
    </xf>
    <xf numFmtId="0" fontId="1" fillId="27" borderId="11" xfId="0" applyNumberFormat="1" applyFont="1" applyFill="1" applyBorder="1" applyAlignment="1" applyProtection="1">
      <alignment horizontal="center"/>
      <protection locked="0" hidden="1"/>
    </xf>
    <xf numFmtId="164" fontId="1" fillId="27" borderId="11" xfId="0" applyNumberFormat="1" applyFont="1" applyFill="1" applyBorder="1" applyAlignment="1" applyProtection="1">
      <alignment horizontal="center"/>
      <protection locked="0" hidden="1"/>
    </xf>
    <xf numFmtId="164" fontId="1" fillId="27" borderId="11" xfId="0" applyNumberFormat="1" applyFont="1" applyFill="1" applyBorder="1" applyAlignment="1" applyProtection="1">
      <alignment horizontal="center"/>
      <protection hidden="1"/>
    </xf>
    <xf numFmtId="164" fontId="1" fillId="27" borderId="22" xfId="0" applyNumberFormat="1" applyFont="1" applyFill="1" applyBorder="1" applyAlignment="1" applyProtection="1">
      <alignment horizontal="center"/>
      <protection hidden="1"/>
    </xf>
    <xf numFmtId="20" fontId="1" fillId="27" borderId="10" xfId="0" applyNumberFormat="1" applyFont="1" applyFill="1" applyBorder="1" applyAlignment="1" applyProtection="1">
      <alignment horizontal="center"/>
      <protection locked="0" hidden="1"/>
    </xf>
    <xf numFmtId="16" fontId="1" fillId="27" borderId="10" xfId="0" quotePrefix="1" applyNumberFormat="1" applyFont="1" applyFill="1" applyBorder="1" applyAlignment="1" applyProtection="1">
      <alignment horizontal="left"/>
      <protection hidden="1"/>
    </xf>
    <xf numFmtId="164" fontId="1" fillId="27" borderId="11" xfId="0" applyNumberFormat="1" applyFont="1" applyFill="1" applyBorder="1" applyProtection="1">
      <protection locked="0" hidden="1"/>
    </xf>
    <xf numFmtId="0" fontId="1" fillId="27" borderId="17" xfId="0" applyNumberFormat="1" applyFont="1" applyFill="1" applyBorder="1" applyAlignment="1" applyProtection="1">
      <alignment horizontal="center"/>
      <protection hidden="1"/>
    </xf>
    <xf numFmtId="0" fontId="1" fillId="27" borderId="11" xfId="0" applyFont="1" applyFill="1" applyBorder="1" applyAlignment="1" applyProtection="1">
      <alignment horizontal="center"/>
      <protection locked="0" hidden="1"/>
    </xf>
    <xf numFmtId="16" fontId="1" fillId="26" borderId="11" xfId="0" quotePrefix="1" applyNumberFormat="1" applyFont="1" applyFill="1" applyBorder="1" applyAlignment="1" applyProtection="1">
      <alignment horizontal="right"/>
      <protection hidden="1"/>
    </xf>
    <xf numFmtId="164" fontId="1" fillId="26" borderId="11" xfId="0" applyNumberFormat="1" applyFont="1" applyFill="1" applyBorder="1" applyProtection="1">
      <protection locked="0" hidden="1"/>
    </xf>
    <xf numFmtId="0" fontId="1" fillId="28" borderId="10" xfId="0" applyFont="1" applyFill="1" applyBorder="1" applyProtection="1">
      <protection hidden="1"/>
    </xf>
    <xf numFmtId="16" fontId="1" fillId="28" borderId="10" xfId="0" quotePrefix="1" applyNumberFormat="1" applyFont="1" applyFill="1" applyBorder="1" applyAlignment="1" applyProtection="1">
      <alignment horizontal="right"/>
      <protection hidden="1"/>
    </xf>
    <xf numFmtId="0" fontId="1" fillId="28" borderId="10" xfId="0" applyNumberFormat="1" applyFont="1" applyFill="1" applyBorder="1" applyAlignment="1" applyProtection="1">
      <alignment horizontal="center"/>
      <protection locked="0" hidden="1"/>
    </xf>
    <xf numFmtId="164" fontId="1" fillId="28" borderId="10" xfId="0" applyNumberFormat="1" applyFont="1" applyFill="1" applyBorder="1" applyAlignment="1" applyProtection="1">
      <alignment horizontal="center"/>
      <protection locked="0" hidden="1"/>
    </xf>
    <xf numFmtId="164" fontId="1" fillId="28" borderId="10" xfId="0" applyNumberFormat="1" applyFont="1" applyFill="1" applyBorder="1" applyAlignment="1" applyProtection="1">
      <alignment horizontal="center"/>
      <protection hidden="1"/>
    </xf>
    <xf numFmtId="164" fontId="1" fillId="28" borderId="11" xfId="0" applyNumberFormat="1" applyFont="1" applyFill="1" applyBorder="1" applyAlignment="1" applyProtection="1">
      <alignment horizontal="center"/>
      <protection hidden="1"/>
    </xf>
    <xf numFmtId="0" fontId="1" fillId="28" borderId="23" xfId="0" applyNumberFormat="1" applyFont="1" applyFill="1" applyBorder="1" applyAlignment="1" applyProtection="1">
      <alignment horizontal="center"/>
      <protection hidden="1"/>
    </xf>
    <xf numFmtId="164" fontId="1" fillId="28" borderId="25" xfId="0" applyNumberFormat="1" applyFont="1" applyFill="1" applyBorder="1" applyAlignment="1" applyProtection="1">
      <alignment horizontal="center"/>
      <protection hidden="1"/>
    </xf>
    <xf numFmtId="0" fontId="1" fillId="28" borderId="10" xfId="0" applyFont="1" applyFill="1" applyBorder="1" applyAlignment="1" applyProtection="1">
      <alignment horizontal="center"/>
      <protection locked="0" hidden="1"/>
    </xf>
    <xf numFmtId="164" fontId="22" fillId="28" borderId="0" xfId="0" applyNumberFormat="1" applyFont="1" applyFill="1"/>
    <xf numFmtId="164" fontId="22" fillId="28" borderId="0" xfId="0" applyNumberFormat="1" applyFont="1" applyFill="1" applyAlignment="1">
      <alignment horizontal="center"/>
    </xf>
    <xf numFmtId="164" fontId="1" fillId="28" borderId="0" xfId="0" applyNumberFormat="1" applyFont="1" applyFill="1" applyProtection="1">
      <protection hidden="1"/>
    </xf>
    <xf numFmtId="0" fontId="1" fillId="28" borderId="0" xfId="0" applyNumberFormat="1" applyFont="1" applyFill="1" applyProtection="1">
      <protection hidden="1"/>
    </xf>
    <xf numFmtId="0" fontId="1" fillId="28" borderId="0" xfId="0" applyFont="1" applyFill="1" applyProtection="1">
      <protection hidden="1"/>
    </xf>
    <xf numFmtId="0" fontId="1" fillId="28" borderId="0" xfId="0" applyNumberFormat="1" applyFont="1" applyFill="1" applyAlignment="1" applyProtection="1">
      <alignment horizontal="center"/>
      <protection hidden="1"/>
    </xf>
    <xf numFmtId="0" fontId="22" fillId="28" borderId="0" xfId="0" applyFont="1" applyFill="1"/>
    <xf numFmtId="164" fontId="1" fillId="25" borderId="10" xfId="0" applyNumberFormat="1" applyFont="1" applyFill="1" applyBorder="1" applyProtection="1">
      <protection locked="0" hidden="1"/>
    </xf>
    <xf numFmtId="164" fontId="1" fillId="28" borderId="11" xfId="0" applyNumberFormat="1" applyFont="1" applyFill="1" applyBorder="1" applyAlignment="1" applyProtection="1">
      <alignment horizontal="center"/>
      <protection locked="0" hidden="1"/>
    </xf>
    <xf numFmtId="164" fontId="1" fillId="28" borderId="22" xfId="0" applyNumberFormat="1" applyFont="1" applyFill="1" applyBorder="1" applyAlignment="1" applyProtection="1">
      <alignment horizontal="center"/>
      <protection hidden="1"/>
    </xf>
    <xf numFmtId="164" fontId="1" fillId="25" borderId="11" xfId="0" applyNumberFormat="1" applyFont="1" applyFill="1" applyBorder="1" applyProtection="1">
      <protection locked="0" hidden="1"/>
    </xf>
    <xf numFmtId="0" fontId="52" fillId="0" borderId="0" xfId="0" applyFont="1" applyProtection="1">
      <protection hidden="1"/>
    </xf>
    <xf numFmtId="0" fontId="53" fillId="0" borderId="0" xfId="0" applyFont="1" applyProtection="1">
      <protection hidden="1"/>
    </xf>
    <xf numFmtId="0" fontId="50" fillId="25" borderId="17" xfId="0" quotePrefix="1" applyFont="1" applyFill="1" applyBorder="1" applyAlignment="1" applyProtection="1">
      <alignment horizontal="center"/>
      <protection hidden="1"/>
    </xf>
    <xf numFmtId="0" fontId="50" fillId="25" borderId="18" xfId="0" applyFont="1" applyFill="1" applyBorder="1" applyAlignment="1" applyProtection="1">
      <alignment horizontal="center"/>
      <protection hidden="1"/>
    </xf>
    <xf numFmtId="0" fontId="50" fillId="25" borderId="22" xfId="0" applyFont="1" applyFill="1" applyBorder="1" applyAlignment="1" applyProtection="1">
      <alignment horizontal="center"/>
      <protection hidden="1"/>
    </xf>
    <xf numFmtId="0" fontId="50" fillId="25" borderId="17" xfId="0" applyFont="1" applyFill="1" applyBorder="1" applyAlignment="1" applyProtection="1">
      <alignment horizontal="center"/>
      <protection hidden="1"/>
    </xf>
    <xf numFmtId="14" fontId="50" fillId="25" borderId="17" xfId="0" quotePrefix="1" applyNumberFormat="1" applyFont="1" applyFill="1" applyBorder="1" applyAlignment="1" applyProtection="1">
      <alignment horizontal="center"/>
      <protection hidden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142875</xdr:rowOff>
    </xdr:from>
    <xdr:to>
      <xdr:col>6</xdr:col>
      <xdr:colOff>411524</xdr:colOff>
      <xdr:row>4</xdr:row>
      <xdr:rowOff>85725</xdr:rowOff>
    </xdr:to>
    <xdr:pic>
      <xdr:nvPicPr>
        <xdr:cNvPr id="3" name="Figuur 5">
          <a:extLst>
            <a:ext uri="{FF2B5EF4-FFF2-40B4-BE49-F238E27FC236}">
              <a16:creationId xmlns:a16="http://schemas.microsoft.com/office/drawing/2014/main" id="{E021ED67-D6F6-430E-ACE2-9527557F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42875"/>
          <a:ext cx="145927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5</xdr:col>
      <xdr:colOff>219075</xdr:colOff>
      <xdr:row>3</xdr:row>
      <xdr:rowOff>36195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7C974A20-1B77-485E-A259-8C6C9482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5</xdr:col>
      <xdr:colOff>219075</xdr:colOff>
      <xdr:row>3</xdr:row>
      <xdr:rowOff>36195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4362F738-42B6-43C5-AB37-FDDE2E37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5</xdr:col>
      <xdr:colOff>219075</xdr:colOff>
      <xdr:row>3</xdr:row>
      <xdr:rowOff>36195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8DC9DE9E-08C8-4AE7-A4C2-9C48923E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5</xdr:col>
      <xdr:colOff>219075</xdr:colOff>
      <xdr:row>3</xdr:row>
      <xdr:rowOff>36195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8E21DDC0-FAEA-43FA-A4EE-85E1FA0F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5</xdr:col>
      <xdr:colOff>257175</xdr:colOff>
      <xdr:row>3</xdr:row>
      <xdr:rowOff>26670</xdr:rowOff>
    </xdr:to>
    <xdr:pic>
      <xdr:nvPicPr>
        <xdr:cNvPr id="3" name="Figuur 5">
          <a:extLst>
            <a:ext uri="{FF2B5EF4-FFF2-40B4-BE49-F238E27FC236}">
              <a16:creationId xmlns:a16="http://schemas.microsoft.com/office/drawing/2014/main" id="{67765128-FB47-4154-AE13-76CF3DBB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5</xdr:col>
      <xdr:colOff>247650</xdr:colOff>
      <xdr:row>3</xdr:row>
      <xdr:rowOff>36195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DB7DB075-FAE2-4FC9-9660-91883C39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5</xdr:col>
      <xdr:colOff>238125</xdr:colOff>
      <xdr:row>3</xdr:row>
      <xdr:rowOff>36195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B31DE613-2376-4705-809B-1FC947CD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5</xdr:col>
      <xdr:colOff>238125</xdr:colOff>
      <xdr:row>3</xdr:row>
      <xdr:rowOff>36195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BFF29F84-97C2-438F-9150-903A3FDA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5</xdr:col>
      <xdr:colOff>238125</xdr:colOff>
      <xdr:row>3</xdr:row>
      <xdr:rowOff>36195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42E2EFF6-E947-447C-894C-2D7873A4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5</xdr:col>
      <xdr:colOff>228600</xdr:colOff>
      <xdr:row>3</xdr:row>
      <xdr:rowOff>36195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16AE860A-A56E-4514-BFE2-EDDA81B8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5</xdr:col>
      <xdr:colOff>228600</xdr:colOff>
      <xdr:row>3</xdr:row>
      <xdr:rowOff>36195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20BCFA03-20B5-48CB-B32B-34506CA0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5</xdr:col>
      <xdr:colOff>228600</xdr:colOff>
      <xdr:row>3</xdr:row>
      <xdr:rowOff>36195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1DAEBA00-6576-4329-9804-4A2B88E2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lfresco.ssgpi.be/alfresco/service/ssgpi/content/workspace%3A%2F%2FSpacesStore%2Ff597d95f-70f6-4d25-a2f9-3ed0b3d5d9ed?guest=tru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CF120"/>
  <sheetViews>
    <sheetView showGridLines="0" showRowColHeaders="0" topLeftCell="O1" workbookViewId="0">
      <selection activeCell="BL36" sqref="BL36:BN36"/>
    </sheetView>
  </sheetViews>
  <sheetFormatPr defaultRowHeight="12.75" x14ac:dyDescent="0.2"/>
  <cols>
    <col min="1" max="1" width="10.28515625" style="2" hidden="1" customWidth="1"/>
    <col min="2" max="2" width="5.28515625" style="2" hidden="1" customWidth="1"/>
    <col min="3" max="3" width="3.28515625" style="2" hidden="1" customWidth="1"/>
    <col min="4" max="4" width="6.140625" style="2" hidden="1" customWidth="1"/>
    <col min="5" max="5" width="13.7109375" style="2" hidden="1" customWidth="1"/>
    <col min="6" max="6" width="15.5703125" style="2" hidden="1" customWidth="1"/>
    <col min="7" max="7" width="8.7109375" style="2" hidden="1" customWidth="1"/>
    <col min="8" max="8" width="11.7109375" style="2" hidden="1" customWidth="1"/>
    <col min="9" max="9" width="6.85546875" style="2" hidden="1" customWidth="1"/>
    <col min="10" max="10" width="10.42578125" style="2" hidden="1" customWidth="1"/>
    <col min="11" max="11" width="8.5703125" style="2" hidden="1" customWidth="1"/>
    <col min="12" max="12" width="11.42578125" style="2" hidden="1" customWidth="1"/>
    <col min="13" max="13" width="9.42578125" style="2" hidden="1" customWidth="1"/>
    <col min="14" max="14" width="3" style="2" hidden="1" customWidth="1"/>
    <col min="15" max="15" width="2.42578125" style="2" customWidth="1"/>
    <col min="16" max="16" width="5.7109375" style="2" customWidth="1"/>
    <col min="17" max="17" width="3.42578125" style="2" customWidth="1"/>
    <col min="18" max="18" width="8.5703125" style="2" customWidth="1"/>
    <col min="19" max="19" width="5.7109375" style="2" customWidth="1"/>
    <col min="20" max="20" width="3.28515625" style="2" customWidth="1"/>
    <col min="21" max="21" width="8.85546875" style="2" customWidth="1"/>
    <col min="22" max="22" width="5.7109375" style="2" customWidth="1"/>
    <col min="23" max="23" width="3.5703125" style="2" customWidth="1"/>
    <col min="24" max="24" width="8.5703125" style="2" customWidth="1"/>
    <col min="25" max="25" width="3.42578125" style="2" customWidth="1"/>
    <col min="26" max="26" width="3.140625" style="2" customWidth="1"/>
    <col min="27" max="27" width="8" style="2" customWidth="1"/>
    <col min="28" max="29" width="4.140625" style="2" customWidth="1"/>
    <col min="30" max="30" width="8.42578125" style="2" customWidth="1"/>
    <col min="31" max="31" width="4.28515625" style="2" customWidth="1"/>
    <col min="32" max="32" width="3.85546875" style="2" customWidth="1"/>
    <col min="33" max="33" width="8.28515625" style="2" customWidth="1"/>
    <col min="34" max="34" width="4.140625" style="2" customWidth="1"/>
    <col min="35" max="35" width="3.42578125" style="2" customWidth="1"/>
    <col min="36" max="36" width="8" style="2" customWidth="1"/>
    <col min="37" max="37" width="3.85546875" style="2" customWidth="1"/>
    <col min="38" max="38" width="3.140625" style="2" customWidth="1"/>
    <col min="39" max="39" width="7.85546875" style="2" customWidth="1"/>
    <col min="40" max="40" width="3.7109375" style="2" customWidth="1"/>
    <col min="41" max="41" width="3.5703125" style="2" customWidth="1"/>
    <col min="42" max="42" width="8.5703125" style="2" customWidth="1"/>
    <col min="43" max="43" width="5.42578125" style="2" customWidth="1"/>
    <col min="44" max="44" width="3.5703125" style="2" customWidth="1"/>
    <col min="45" max="45" width="8.42578125" style="2" customWidth="1"/>
    <col min="46" max="46" width="3.7109375" style="2" customWidth="1"/>
    <col min="47" max="47" width="3.140625" style="2" customWidth="1"/>
    <col min="48" max="48" width="8.42578125" style="2" customWidth="1"/>
    <col min="49" max="49" width="5.140625" style="2" customWidth="1"/>
    <col min="50" max="50" width="4.28515625" style="2" customWidth="1"/>
    <col min="51" max="51" width="8.140625" style="2" customWidth="1"/>
    <col min="52" max="52" width="4.28515625" style="2" customWidth="1"/>
    <col min="53" max="53" width="4.140625" style="2" customWidth="1"/>
    <col min="54" max="54" width="8.140625" style="2" customWidth="1"/>
    <col min="55" max="55" width="7.140625" style="2" customWidth="1"/>
    <col min="56" max="56" width="4.28515625" style="2" customWidth="1"/>
    <col min="57" max="57" width="8.42578125" style="2" customWidth="1"/>
    <col min="58" max="58" width="5.42578125" style="2" customWidth="1"/>
    <col min="59" max="59" width="3" style="2" customWidth="1"/>
    <col min="60" max="60" width="8.42578125" style="2" customWidth="1"/>
    <col min="61" max="61" width="7.140625" style="2" customWidth="1"/>
    <col min="62" max="62" width="5.28515625" style="2" customWidth="1"/>
    <col min="63" max="63" width="8.42578125" style="2" customWidth="1"/>
    <col min="64" max="64" width="3.85546875" style="2" customWidth="1"/>
    <col min="65" max="65" width="3.42578125" style="2" customWidth="1"/>
    <col min="66" max="66" width="7.7109375" style="2" customWidth="1"/>
    <col min="67" max="67" width="5.85546875" style="2" customWidth="1"/>
    <col min="68" max="68" width="4.28515625" style="5" customWidth="1"/>
    <col min="69" max="69" width="8" style="2" customWidth="1"/>
    <col min="70" max="70" width="4.28515625" style="2" customWidth="1"/>
    <col min="71" max="71" width="3.140625" style="2" customWidth="1"/>
    <col min="72" max="72" width="9.140625" style="2"/>
    <col min="73" max="73" width="4" style="2" customWidth="1"/>
    <col min="74" max="74" width="4.140625" style="2" customWidth="1"/>
    <col min="75" max="75" width="9.28515625" style="2" customWidth="1"/>
    <col min="76" max="76" width="5.5703125" style="2" customWidth="1"/>
    <col min="77" max="77" width="3.5703125" style="2" customWidth="1"/>
    <col min="78" max="78" width="8.5703125" style="2" customWidth="1"/>
    <col min="79" max="79" width="7.140625" style="2" customWidth="1"/>
    <col min="80" max="80" width="3.85546875" style="2" customWidth="1"/>
    <col min="81" max="81" width="7.42578125" style="2" customWidth="1"/>
    <col min="82" max="82" width="7.140625" style="2" customWidth="1"/>
  </cols>
  <sheetData>
    <row r="1" spans="2:84" x14ac:dyDescent="0.2"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CE1" s="2"/>
      <c r="CF1" s="2"/>
    </row>
    <row r="2" spans="2:84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53"/>
      <c r="Q2" s="454"/>
      <c r="R2" s="454"/>
      <c r="S2" s="453"/>
      <c r="T2" s="454"/>
      <c r="U2" s="455"/>
      <c r="V2" s="454"/>
      <c r="W2" s="454"/>
      <c r="X2" s="455"/>
      <c r="Y2" s="454"/>
      <c r="Z2" s="454"/>
      <c r="AA2" s="455"/>
      <c r="AB2" s="456"/>
      <c r="AC2" s="451"/>
      <c r="AD2" s="457"/>
      <c r="AE2" s="456"/>
      <c r="AF2" s="451"/>
      <c r="AG2" s="457"/>
      <c r="AH2" s="456"/>
      <c r="AI2" s="451"/>
      <c r="AJ2" s="457"/>
      <c r="AK2" s="456"/>
      <c r="AL2" s="451"/>
      <c r="AM2" s="457"/>
      <c r="AN2" s="456"/>
      <c r="AO2" s="451"/>
      <c r="AP2" s="457"/>
      <c r="AQ2" s="451"/>
      <c r="AR2" s="451"/>
      <c r="AS2" s="451"/>
      <c r="AT2" s="456"/>
      <c r="AU2" s="451"/>
      <c r="AV2" s="457"/>
      <c r="AW2" s="451"/>
      <c r="AX2" s="451"/>
      <c r="AY2" s="451"/>
      <c r="AZ2" s="456"/>
      <c r="BA2" s="451"/>
      <c r="BB2" s="457"/>
      <c r="BC2" s="451"/>
      <c r="BD2" s="451"/>
      <c r="BE2" s="451"/>
      <c r="BF2" s="456"/>
      <c r="BG2" s="451"/>
      <c r="BH2" s="457"/>
      <c r="BI2" s="451"/>
      <c r="BJ2" s="451"/>
      <c r="BK2" s="451"/>
      <c r="BL2" s="456"/>
      <c r="BM2" s="451"/>
      <c r="BN2" s="457"/>
      <c r="BO2" s="451"/>
      <c r="BP2" s="451"/>
      <c r="BQ2" s="451"/>
      <c r="BR2" s="456"/>
      <c r="BS2" s="451"/>
      <c r="BT2" s="457"/>
      <c r="BU2" s="456"/>
      <c r="BV2" s="451"/>
      <c r="BW2" s="457"/>
      <c r="BX2" s="456"/>
      <c r="BY2" s="451"/>
      <c r="BZ2" s="457"/>
      <c r="CA2" s="114"/>
      <c r="CB2" s="13"/>
      <c r="CC2" s="121"/>
      <c r="CE2" s="2"/>
      <c r="CF2" s="2"/>
    </row>
    <row r="3" spans="2:84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58"/>
      <c r="Q3" s="452" t="s">
        <v>0</v>
      </c>
      <c r="R3" s="452"/>
      <c r="S3" s="458"/>
      <c r="T3" s="452" t="s">
        <v>1</v>
      </c>
      <c r="U3" s="459"/>
      <c r="V3" s="452"/>
      <c r="W3" s="452" t="s">
        <v>2</v>
      </c>
      <c r="X3" s="459"/>
      <c r="Y3" s="452"/>
      <c r="Z3" s="452" t="s">
        <v>3</v>
      </c>
      <c r="AA3" s="459"/>
      <c r="AB3" s="458"/>
      <c r="AC3" s="452" t="s">
        <v>4</v>
      </c>
      <c r="AD3" s="459"/>
      <c r="AE3" s="458"/>
      <c r="AF3" s="452" t="s">
        <v>5</v>
      </c>
      <c r="AG3" s="459"/>
      <c r="AH3" s="458"/>
      <c r="AI3" s="452" t="s">
        <v>6</v>
      </c>
      <c r="AJ3" s="459"/>
      <c r="AK3" s="458"/>
      <c r="AL3" s="452" t="s">
        <v>7</v>
      </c>
      <c r="AM3" s="459"/>
      <c r="AN3" s="458"/>
      <c r="AO3" s="452" t="s">
        <v>8</v>
      </c>
      <c r="AP3" s="459"/>
      <c r="AQ3" s="452"/>
      <c r="AR3" s="452" t="s">
        <v>9</v>
      </c>
      <c r="AS3" s="452"/>
      <c r="AT3" s="458"/>
      <c r="AU3" s="452" t="s">
        <v>10</v>
      </c>
      <c r="AV3" s="459"/>
      <c r="AW3" s="452"/>
      <c r="AX3" s="452" t="s">
        <v>11</v>
      </c>
      <c r="AY3" s="452"/>
      <c r="AZ3" s="458"/>
      <c r="BA3" s="452" t="s">
        <v>12</v>
      </c>
      <c r="BB3" s="459"/>
      <c r="BC3" s="452"/>
      <c r="BD3" s="452" t="s">
        <v>13</v>
      </c>
      <c r="BE3" s="452"/>
      <c r="BF3" s="458"/>
      <c r="BG3" s="452" t="s">
        <v>14</v>
      </c>
      <c r="BH3" s="459"/>
      <c r="BI3" s="452"/>
      <c r="BJ3" s="452" t="s">
        <v>15</v>
      </c>
      <c r="BK3" s="452"/>
      <c r="BL3" s="458"/>
      <c r="BM3" s="452" t="s">
        <v>16</v>
      </c>
      <c r="BN3" s="459"/>
      <c r="BO3" s="452"/>
      <c r="BP3" s="452" t="s">
        <v>17</v>
      </c>
      <c r="BQ3" s="452"/>
      <c r="BR3" s="458"/>
      <c r="BS3" s="452" t="s">
        <v>18</v>
      </c>
      <c r="BT3" s="459"/>
      <c r="BU3" s="458"/>
      <c r="BV3" s="452" t="s">
        <v>19</v>
      </c>
      <c r="BW3" s="459"/>
      <c r="BX3" s="458"/>
      <c r="BY3" s="452" t="s">
        <v>20</v>
      </c>
      <c r="BZ3" s="459"/>
      <c r="CA3" s="19"/>
      <c r="CB3" s="147" t="s">
        <v>21</v>
      </c>
      <c r="CC3" s="119"/>
      <c r="CE3" s="2"/>
      <c r="CF3" s="2"/>
    </row>
    <row r="4" spans="2:84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5"/>
      <c r="S4" s="45"/>
      <c r="U4" s="48"/>
      <c r="X4" s="48"/>
      <c r="AA4" s="48"/>
      <c r="AB4" s="45"/>
      <c r="AC4" s="46"/>
      <c r="AD4" s="48"/>
      <c r="AE4" s="45"/>
      <c r="AF4" s="46"/>
      <c r="AG4" s="48"/>
      <c r="AH4" s="45"/>
      <c r="AI4" s="46"/>
      <c r="AJ4" s="48"/>
      <c r="AK4" s="45"/>
      <c r="AL4" s="46"/>
      <c r="AM4" s="48"/>
      <c r="AN4" s="45"/>
      <c r="AO4" s="46"/>
      <c r="AP4" s="48"/>
      <c r="AQ4" s="46"/>
      <c r="AR4" s="46"/>
      <c r="AS4" s="46"/>
      <c r="AT4" s="45"/>
      <c r="AU4" s="46"/>
      <c r="AV4" s="48"/>
      <c r="AW4" s="46"/>
      <c r="AX4" s="46"/>
      <c r="AY4" s="46"/>
      <c r="AZ4" s="45"/>
      <c r="BA4" s="46"/>
      <c r="BB4" s="48"/>
      <c r="BC4" s="46"/>
      <c r="BD4" s="46"/>
      <c r="BE4" s="46"/>
      <c r="BF4" s="45"/>
      <c r="BG4" s="46"/>
      <c r="BH4" s="48"/>
      <c r="BI4" s="46"/>
      <c r="BJ4" s="46"/>
      <c r="BK4" s="46"/>
      <c r="BL4" s="45"/>
      <c r="BM4" s="46"/>
      <c r="BN4" s="48"/>
      <c r="BO4" s="46"/>
      <c r="BP4" s="203"/>
      <c r="BQ4" s="46"/>
      <c r="BR4" s="45"/>
      <c r="BS4" s="46"/>
      <c r="BT4" s="48"/>
      <c r="BU4" s="45"/>
      <c r="BV4" s="46"/>
      <c r="BW4" s="48"/>
      <c r="BX4" s="45"/>
      <c r="BY4" s="46"/>
      <c r="BZ4" s="48"/>
      <c r="CA4" s="18"/>
      <c r="CB4" s="21"/>
      <c r="CC4" s="125"/>
      <c r="CE4" s="2"/>
      <c r="CF4" s="2"/>
    </row>
    <row r="5" spans="2:84" x14ac:dyDescent="0.2">
      <c r="B5" s="47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P5" s="18" t="s">
        <v>0</v>
      </c>
      <c r="Q5" s="7">
        <v>0</v>
      </c>
      <c r="R5" s="201">
        <v>14253.88</v>
      </c>
      <c r="S5" s="18" t="s">
        <v>1</v>
      </c>
      <c r="T5" s="4">
        <v>0</v>
      </c>
      <c r="U5" s="202">
        <v>14873.62</v>
      </c>
      <c r="V5" s="4" t="s">
        <v>2</v>
      </c>
      <c r="W5" s="4">
        <v>0</v>
      </c>
      <c r="X5" s="202">
        <v>15493.35</v>
      </c>
      <c r="Y5" s="4" t="s">
        <v>3</v>
      </c>
      <c r="Z5" s="4">
        <v>0</v>
      </c>
      <c r="AA5" s="202">
        <v>15518.14</v>
      </c>
      <c r="AB5" s="18" t="s">
        <v>4</v>
      </c>
      <c r="AC5" s="4">
        <v>0</v>
      </c>
      <c r="AD5" s="202">
        <v>16261.82</v>
      </c>
      <c r="AE5" s="18" t="s">
        <v>5</v>
      </c>
      <c r="AF5" s="21">
        <v>0</v>
      </c>
      <c r="AG5" s="202">
        <v>16311.4</v>
      </c>
      <c r="AH5" s="18" t="s">
        <v>6</v>
      </c>
      <c r="AI5" s="21">
        <v>0</v>
      </c>
      <c r="AJ5" s="202">
        <v>20666</v>
      </c>
      <c r="AK5" s="18" t="s">
        <v>7</v>
      </c>
      <c r="AL5" s="21">
        <v>0</v>
      </c>
      <c r="AM5" s="202">
        <v>22366</v>
      </c>
      <c r="AN5" s="18" t="s">
        <v>8</v>
      </c>
      <c r="AO5" s="21">
        <v>0</v>
      </c>
      <c r="AP5" s="202">
        <v>17352.55</v>
      </c>
      <c r="AQ5" s="21" t="s">
        <v>9</v>
      </c>
      <c r="AR5" s="47">
        <v>0</v>
      </c>
      <c r="AS5" s="202">
        <v>18914.28</v>
      </c>
      <c r="AT5" s="18" t="s">
        <v>10</v>
      </c>
      <c r="AU5" s="21">
        <v>0</v>
      </c>
      <c r="AV5" s="202">
        <v>19087.810000000001</v>
      </c>
      <c r="AW5" s="21" t="s">
        <v>11</v>
      </c>
      <c r="AX5" s="47">
        <v>0</v>
      </c>
      <c r="AY5" s="202">
        <v>20805.71</v>
      </c>
      <c r="AZ5" s="18" t="s">
        <v>12</v>
      </c>
      <c r="BA5" s="21">
        <v>0</v>
      </c>
      <c r="BB5" s="202">
        <v>19335.7</v>
      </c>
      <c r="BC5" s="21" t="s">
        <v>13</v>
      </c>
      <c r="BD5" s="47">
        <v>0</v>
      </c>
      <c r="BE5" s="202">
        <v>21075.91</v>
      </c>
      <c r="BF5" s="18" t="s">
        <v>14</v>
      </c>
      <c r="BG5" s="21">
        <v>0</v>
      </c>
      <c r="BH5" s="202">
        <v>19583.59</v>
      </c>
      <c r="BI5" s="21" t="s">
        <v>15</v>
      </c>
      <c r="BJ5" s="47">
        <v>0</v>
      </c>
      <c r="BK5" s="202">
        <v>21346.12</v>
      </c>
      <c r="BL5" s="18" t="s">
        <v>16</v>
      </c>
      <c r="BM5" s="21">
        <v>0</v>
      </c>
      <c r="BN5" s="202">
        <v>20327.27</v>
      </c>
      <c r="BO5" s="21" t="s">
        <v>17</v>
      </c>
      <c r="BP5" s="47">
        <v>0</v>
      </c>
      <c r="BQ5" s="204">
        <v>22156.73</v>
      </c>
      <c r="BR5" s="18" t="s">
        <v>18</v>
      </c>
      <c r="BS5" s="21">
        <v>0</v>
      </c>
      <c r="BT5" s="202">
        <v>20327.27</v>
      </c>
      <c r="BU5" s="18" t="s">
        <v>19</v>
      </c>
      <c r="BV5" s="21">
        <v>0</v>
      </c>
      <c r="BW5" s="202">
        <v>23054.1</v>
      </c>
      <c r="BX5" s="18" t="s">
        <v>20</v>
      </c>
      <c r="BY5" s="21">
        <v>0</v>
      </c>
      <c r="BZ5" s="202">
        <v>23797.78</v>
      </c>
      <c r="CA5" s="155" t="s">
        <v>21</v>
      </c>
      <c r="CB5" s="21">
        <v>0</v>
      </c>
      <c r="CC5" s="156">
        <v>1425000</v>
      </c>
      <c r="CE5" s="2"/>
      <c r="CF5" s="2"/>
    </row>
    <row r="6" spans="2:84" x14ac:dyDescent="0.2">
      <c r="B6" s="47"/>
      <c r="C6" s="164"/>
      <c r="D6" s="47"/>
      <c r="E6" s="164"/>
      <c r="F6" s="47"/>
      <c r="G6" s="164"/>
      <c r="H6" s="47"/>
      <c r="I6" s="164"/>
      <c r="J6" s="47"/>
      <c r="K6" s="164"/>
      <c r="L6" s="47"/>
      <c r="M6" s="164"/>
      <c r="N6" s="47"/>
      <c r="P6" s="18" t="s">
        <v>0</v>
      </c>
      <c r="Q6" s="4">
        <v>1</v>
      </c>
      <c r="R6" s="201">
        <v>14501.78</v>
      </c>
      <c r="S6" s="18" t="s">
        <v>1</v>
      </c>
      <c r="T6" s="4">
        <v>1</v>
      </c>
      <c r="U6" s="202">
        <v>15146.31</v>
      </c>
      <c r="V6" s="4" t="s">
        <v>2</v>
      </c>
      <c r="W6" s="4">
        <v>1</v>
      </c>
      <c r="X6" s="202">
        <v>15840.41</v>
      </c>
      <c r="Y6" s="4" t="s">
        <v>3</v>
      </c>
      <c r="Z6" s="4">
        <v>1</v>
      </c>
      <c r="AA6" s="202">
        <v>15865.2</v>
      </c>
      <c r="AB6" s="18" t="s">
        <v>4</v>
      </c>
      <c r="AC6" s="4">
        <v>1</v>
      </c>
      <c r="AD6" s="202">
        <v>16646.060000000001</v>
      </c>
      <c r="AE6" s="18" t="s">
        <v>5</v>
      </c>
      <c r="AF6" s="21">
        <v>1</v>
      </c>
      <c r="AG6" s="202">
        <v>16732.82</v>
      </c>
      <c r="AH6" s="18" t="s">
        <v>6</v>
      </c>
      <c r="AI6" s="21">
        <v>1</v>
      </c>
      <c r="AJ6" s="202">
        <v>20866</v>
      </c>
      <c r="AK6" s="18" t="s">
        <v>7</v>
      </c>
      <c r="AL6" s="21">
        <v>1</v>
      </c>
      <c r="AM6" s="202">
        <v>22566</v>
      </c>
      <c r="AN6" s="18" t="s">
        <v>8</v>
      </c>
      <c r="AO6" s="21">
        <v>1</v>
      </c>
      <c r="AP6" s="202">
        <v>17888.009999999998</v>
      </c>
      <c r="AQ6" s="21" t="s">
        <v>9</v>
      </c>
      <c r="AR6" s="47">
        <v>1</v>
      </c>
      <c r="AS6" s="202">
        <v>19497.93</v>
      </c>
      <c r="AT6" s="18" t="s">
        <v>10</v>
      </c>
      <c r="AU6" s="21">
        <v>1</v>
      </c>
      <c r="AV6" s="202">
        <v>19653.009999999998</v>
      </c>
      <c r="AW6" s="21" t="s">
        <v>11</v>
      </c>
      <c r="AX6" s="47">
        <v>1</v>
      </c>
      <c r="AY6" s="202">
        <v>21421.78</v>
      </c>
      <c r="AZ6" s="18" t="s">
        <v>12</v>
      </c>
      <c r="BA6" s="21">
        <v>1</v>
      </c>
      <c r="BB6" s="202">
        <v>19928.169999999998</v>
      </c>
      <c r="BC6" s="21" t="s">
        <v>13</v>
      </c>
      <c r="BD6" s="47">
        <v>1</v>
      </c>
      <c r="BE6" s="202">
        <v>21721.7</v>
      </c>
      <c r="BF6" s="18" t="s">
        <v>14</v>
      </c>
      <c r="BG6" s="21">
        <v>1</v>
      </c>
      <c r="BH6" s="202">
        <v>20228.12</v>
      </c>
      <c r="BI6" s="21" t="s">
        <v>15</v>
      </c>
      <c r="BJ6" s="47">
        <v>1</v>
      </c>
      <c r="BK6" s="202">
        <v>22048.66</v>
      </c>
      <c r="BL6" s="18" t="s">
        <v>16</v>
      </c>
      <c r="BM6" s="21">
        <v>1</v>
      </c>
      <c r="BN6" s="202">
        <v>20959.400000000001</v>
      </c>
      <c r="BO6" s="21" t="s">
        <v>17</v>
      </c>
      <c r="BP6" s="47">
        <v>1</v>
      </c>
      <c r="BQ6" s="204">
        <v>22845.759999999998</v>
      </c>
      <c r="BR6" s="18" t="s">
        <v>18</v>
      </c>
      <c r="BS6" s="21">
        <v>1</v>
      </c>
      <c r="BT6" s="202">
        <v>20959.400000000001</v>
      </c>
      <c r="BU6" s="18" t="s">
        <v>19</v>
      </c>
      <c r="BV6" s="21">
        <v>1</v>
      </c>
      <c r="BW6" s="202">
        <v>23636.65</v>
      </c>
      <c r="BX6" s="18" t="s">
        <v>20</v>
      </c>
      <c r="BY6" s="21">
        <v>1</v>
      </c>
      <c r="BZ6" s="202">
        <v>24392.73</v>
      </c>
      <c r="CA6" s="155" t="s">
        <v>21</v>
      </c>
      <c r="CB6" s="21">
        <v>1</v>
      </c>
      <c r="CC6" s="156">
        <v>1466000</v>
      </c>
      <c r="CE6" s="2"/>
      <c r="CF6" s="2"/>
    </row>
    <row r="7" spans="2:84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18" t="s">
        <v>0</v>
      </c>
      <c r="Q7" s="4">
        <v>2</v>
      </c>
      <c r="R7" s="201">
        <v>14749.68</v>
      </c>
      <c r="S7" s="18" t="s">
        <v>1</v>
      </c>
      <c r="T7" s="4">
        <v>2</v>
      </c>
      <c r="U7" s="202">
        <v>15419</v>
      </c>
      <c r="V7" s="4" t="s">
        <v>2</v>
      </c>
      <c r="W7" s="4">
        <v>2</v>
      </c>
      <c r="X7" s="202">
        <v>16187.47</v>
      </c>
      <c r="Y7" s="4" t="s">
        <v>3</v>
      </c>
      <c r="Z7" s="4">
        <v>2</v>
      </c>
      <c r="AA7" s="202">
        <v>16212.26</v>
      </c>
      <c r="AB7" s="18" t="s">
        <v>4</v>
      </c>
      <c r="AC7" s="4">
        <v>2</v>
      </c>
      <c r="AD7" s="202">
        <v>17030.3</v>
      </c>
      <c r="AE7" s="18" t="s">
        <v>5</v>
      </c>
      <c r="AF7" s="21">
        <v>2</v>
      </c>
      <c r="AG7" s="202">
        <v>17154.240000000002</v>
      </c>
      <c r="AH7" s="18" t="s">
        <v>6</v>
      </c>
      <c r="AI7" s="21">
        <v>2</v>
      </c>
      <c r="AJ7" s="202">
        <v>21066</v>
      </c>
      <c r="AK7" s="18" t="s">
        <v>7</v>
      </c>
      <c r="AL7" s="21">
        <v>2</v>
      </c>
      <c r="AM7" s="202">
        <v>22766</v>
      </c>
      <c r="AN7" s="18" t="s">
        <v>8</v>
      </c>
      <c r="AO7" s="21">
        <v>2</v>
      </c>
      <c r="AP7" s="202">
        <v>18423.47</v>
      </c>
      <c r="AQ7" s="21" t="s">
        <v>9</v>
      </c>
      <c r="AR7" s="47">
        <v>2</v>
      </c>
      <c r="AS7" s="202">
        <v>20081.580000000002</v>
      </c>
      <c r="AT7" s="18" t="s">
        <v>10</v>
      </c>
      <c r="AU7" s="21">
        <v>2</v>
      </c>
      <c r="AV7" s="202">
        <v>20218.21</v>
      </c>
      <c r="AW7" s="21" t="s">
        <v>11</v>
      </c>
      <c r="AX7" s="47">
        <v>2</v>
      </c>
      <c r="AY7" s="202">
        <v>22037.85</v>
      </c>
      <c r="AZ7" s="18" t="s">
        <v>12</v>
      </c>
      <c r="BA7" s="21">
        <v>2</v>
      </c>
      <c r="BB7" s="202">
        <v>20520.64</v>
      </c>
      <c r="BC7" s="21" t="s">
        <v>13</v>
      </c>
      <c r="BD7" s="47">
        <v>2</v>
      </c>
      <c r="BE7" s="202">
        <v>22367.49</v>
      </c>
      <c r="BF7" s="18" t="s">
        <v>14</v>
      </c>
      <c r="BG7" s="21">
        <v>2</v>
      </c>
      <c r="BH7" s="202">
        <v>20872.650000000001</v>
      </c>
      <c r="BI7" s="21" t="s">
        <v>15</v>
      </c>
      <c r="BJ7" s="47">
        <v>2</v>
      </c>
      <c r="BK7" s="202">
        <v>22751.200000000001</v>
      </c>
      <c r="BL7" s="18" t="s">
        <v>16</v>
      </c>
      <c r="BM7" s="21">
        <v>2</v>
      </c>
      <c r="BN7" s="202">
        <v>21591.53</v>
      </c>
      <c r="BO7" s="21" t="s">
        <v>17</v>
      </c>
      <c r="BP7" s="47">
        <v>2</v>
      </c>
      <c r="BQ7" s="204">
        <v>23534.79</v>
      </c>
      <c r="BR7" s="18" t="s">
        <v>18</v>
      </c>
      <c r="BS7" s="21">
        <v>2</v>
      </c>
      <c r="BT7" s="202">
        <v>21591.53</v>
      </c>
      <c r="BU7" s="18" t="s">
        <v>19</v>
      </c>
      <c r="BV7" s="21">
        <v>2</v>
      </c>
      <c r="BW7" s="202">
        <v>24219.200000000001</v>
      </c>
      <c r="BX7" s="18" t="s">
        <v>20</v>
      </c>
      <c r="BY7" s="21">
        <v>2</v>
      </c>
      <c r="BZ7" s="202">
        <v>24987.68</v>
      </c>
      <c r="CA7" s="155" t="s">
        <v>21</v>
      </c>
      <c r="CB7" s="21">
        <v>2</v>
      </c>
      <c r="CC7" s="156">
        <v>1505000</v>
      </c>
      <c r="CE7" s="2"/>
      <c r="CF7" s="2"/>
    </row>
    <row r="8" spans="2:84" x14ac:dyDescent="0.2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P8" s="18" t="s">
        <v>0</v>
      </c>
      <c r="Q8" s="4">
        <v>3</v>
      </c>
      <c r="R8" s="201">
        <v>14997.58</v>
      </c>
      <c r="S8" s="18" t="s">
        <v>1</v>
      </c>
      <c r="T8" s="4">
        <v>3</v>
      </c>
      <c r="U8" s="202">
        <v>15691.69</v>
      </c>
      <c r="V8" s="4" t="s">
        <v>2</v>
      </c>
      <c r="W8" s="4">
        <v>3</v>
      </c>
      <c r="X8" s="202">
        <v>16534.53</v>
      </c>
      <c r="Y8" s="4" t="s">
        <v>3</v>
      </c>
      <c r="Z8" s="4">
        <v>3</v>
      </c>
      <c r="AA8" s="202">
        <v>16559.32</v>
      </c>
      <c r="AB8" s="18" t="s">
        <v>4</v>
      </c>
      <c r="AC8" s="4">
        <v>3</v>
      </c>
      <c r="AD8" s="202">
        <v>17414.54</v>
      </c>
      <c r="AE8" s="18" t="s">
        <v>5</v>
      </c>
      <c r="AF8" s="21">
        <v>3</v>
      </c>
      <c r="AG8" s="202">
        <v>17575.66</v>
      </c>
      <c r="AH8" s="18" t="s">
        <v>6</v>
      </c>
      <c r="AI8" s="21">
        <v>3</v>
      </c>
      <c r="AJ8" s="202">
        <v>21265</v>
      </c>
      <c r="AK8" s="18" t="s">
        <v>7</v>
      </c>
      <c r="AL8" s="21">
        <v>3</v>
      </c>
      <c r="AM8" s="202">
        <v>22965</v>
      </c>
      <c r="AN8" s="18" t="s">
        <v>8</v>
      </c>
      <c r="AO8" s="21">
        <v>3</v>
      </c>
      <c r="AP8" s="202">
        <v>18958.93</v>
      </c>
      <c r="AQ8" s="21" t="s">
        <v>9</v>
      </c>
      <c r="AR8" s="47">
        <v>3</v>
      </c>
      <c r="AS8" s="202">
        <v>20665.23</v>
      </c>
      <c r="AT8" s="18" t="s">
        <v>10</v>
      </c>
      <c r="AU8" s="21">
        <v>3</v>
      </c>
      <c r="AV8" s="202">
        <v>20783.41</v>
      </c>
      <c r="AW8" s="21" t="s">
        <v>11</v>
      </c>
      <c r="AX8" s="47">
        <v>3</v>
      </c>
      <c r="AY8" s="202">
        <v>22653.919999999998</v>
      </c>
      <c r="AZ8" s="18" t="s">
        <v>12</v>
      </c>
      <c r="BA8" s="21">
        <v>3</v>
      </c>
      <c r="BB8" s="202">
        <v>21113.11</v>
      </c>
      <c r="BC8" s="21" t="s">
        <v>13</v>
      </c>
      <c r="BD8" s="47">
        <v>3</v>
      </c>
      <c r="BE8" s="202">
        <v>23013.279999999999</v>
      </c>
      <c r="BF8" s="18" t="s">
        <v>14</v>
      </c>
      <c r="BG8" s="21">
        <v>3</v>
      </c>
      <c r="BH8" s="202">
        <v>21517.18</v>
      </c>
      <c r="BI8" s="21" t="s">
        <v>15</v>
      </c>
      <c r="BJ8" s="47">
        <v>3</v>
      </c>
      <c r="BK8" s="202">
        <v>23453.74</v>
      </c>
      <c r="BL8" s="18" t="s">
        <v>16</v>
      </c>
      <c r="BM8" s="21">
        <v>3</v>
      </c>
      <c r="BN8" s="202">
        <v>22211.27</v>
      </c>
      <c r="BO8" s="21" t="s">
        <v>17</v>
      </c>
      <c r="BP8" s="47">
        <v>3</v>
      </c>
      <c r="BQ8" s="204">
        <v>24210.3</v>
      </c>
      <c r="BR8" s="18" t="s">
        <v>18</v>
      </c>
      <c r="BS8" s="21">
        <v>3</v>
      </c>
      <c r="BT8" s="202">
        <v>22211.27</v>
      </c>
      <c r="BU8" s="18" t="s">
        <v>19</v>
      </c>
      <c r="BV8" s="21">
        <v>3</v>
      </c>
      <c r="BW8" s="202">
        <v>24801.75</v>
      </c>
      <c r="BX8" s="18" t="s">
        <v>20</v>
      </c>
      <c r="BY8" s="21">
        <v>3</v>
      </c>
      <c r="BZ8" s="202">
        <v>25582.63</v>
      </c>
      <c r="CA8" s="155" t="s">
        <v>21</v>
      </c>
      <c r="CB8" s="21">
        <v>3</v>
      </c>
      <c r="CC8" s="156">
        <v>1544000</v>
      </c>
      <c r="CE8" s="2"/>
      <c r="CF8" s="2"/>
    </row>
    <row r="9" spans="2:84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P9" s="18" t="s">
        <v>0</v>
      </c>
      <c r="Q9" s="4">
        <v>4</v>
      </c>
      <c r="R9" s="201">
        <v>15245.48</v>
      </c>
      <c r="S9" s="18" t="s">
        <v>1</v>
      </c>
      <c r="T9" s="4">
        <v>4</v>
      </c>
      <c r="U9" s="202">
        <v>15964.38</v>
      </c>
      <c r="V9" s="4" t="s">
        <v>2</v>
      </c>
      <c r="W9" s="4">
        <v>4</v>
      </c>
      <c r="X9" s="202">
        <v>16881.59</v>
      </c>
      <c r="Y9" s="4" t="s">
        <v>3</v>
      </c>
      <c r="Z9" s="4">
        <v>4</v>
      </c>
      <c r="AA9" s="202">
        <v>16906.38</v>
      </c>
      <c r="AB9" s="18" t="s">
        <v>4</v>
      </c>
      <c r="AC9" s="4">
        <v>4</v>
      </c>
      <c r="AD9" s="202">
        <v>17798.78</v>
      </c>
      <c r="AE9" s="18" t="s">
        <v>5</v>
      </c>
      <c r="AF9" s="21">
        <v>4</v>
      </c>
      <c r="AG9" s="202">
        <v>17997.080000000002</v>
      </c>
      <c r="AH9" s="18" t="s">
        <v>6</v>
      </c>
      <c r="AI9" s="21">
        <v>4</v>
      </c>
      <c r="AJ9" s="202">
        <v>21465</v>
      </c>
      <c r="AK9" s="18" t="s">
        <v>7</v>
      </c>
      <c r="AL9" s="21">
        <v>4</v>
      </c>
      <c r="AM9" s="202">
        <v>23165</v>
      </c>
      <c r="AN9" s="18" t="s">
        <v>8</v>
      </c>
      <c r="AO9" s="21">
        <v>4</v>
      </c>
      <c r="AP9" s="202">
        <v>19494.39</v>
      </c>
      <c r="AQ9" s="21" t="s">
        <v>9</v>
      </c>
      <c r="AR9" s="47">
        <v>4</v>
      </c>
      <c r="AS9" s="202">
        <v>21248.880000000001</v>
      </c>
      <c r="AT9" s="18" t="s">
        <v>10</v>
      </c>
      <c r="AU9" s="21">
        <v>4</v>
      </c>
      <c r="AV9" s="202">
        <v>21348.61</v>
      </c>
      <c r="AW9" s="21" t="s">
        <v>11</v>
      </c>
      <c r="AX9" s="47">
        <v>4</v>
      </c>
      <c r="AY9" s="202">
        <v>23269.99</v>
      </c>
      <c r="AZ9" s="18" t="s">
        <v>12</v>
      </c>
      <c r="BA9" s="21">
        <v>4</v>
      </c>
      <c r="BB9" s="202">
        <v>21705.58</v>
      </c>
      <c r="BC9" s="21" t="s">
        <v>13</v>
      </c>
      <c r="BD9" s="47">
        <v>4</v>
      </c>
      <c r="BE9" s="202">
        <v>23659.07</v>
      </c>
      <c r="BF9" s="18" t="s">
        <v>14</v>
      </c>
      <c r="BG9" s="21">
        <v>4</v>
      </c>
      <c r="BH9" s="202">
        <v>22161.71</v>
      </c>
      <c r="BI9" s="21" t="s">
        <v>15</v>
      </c>
      <c r="BJ9" s="47">
        <v>4</v>
      </c>
      <c r="BK9" s="202">
        <v>24156.28</v>
      </c>
      <c r="BL9" s="18" t="s">
        <v>16</v>
      </c>
      <c r="BM9" s="21">
        <v>4</v>
      </c>
      <c r="BN9" s="202">
        <v>22831.01</v>
      </c>
      <c r="BO9" s="21" t="s">
        <v>17</v>
      </c>
      <c r="BP9" s="47">
        <v>4</v>
      </c>
      <c r="BQ9" s="204">
        <v>24885.81</v>
      </c>
      <c r="BR9" s="18" t="s">
        <v>18</v>
      </c>
      <c r="BS9" s="21">
        <v>4</v>
      </c>
      <c r="BT9" s="202">
        <v>22831.01</v>
      </c>
      <c r="BU9" s="18" t="s">
        <v>19</v>
      </c>
      <c r="BV9" s="21">
        <v>4</v>
      </c>
      <c r="BW9" s="202">
        <v>25384.3</v>
      </c>
      <c r="BX9" s="18" t="s">
        <v>20</v>
      </c>
      <c r="BY9" s="21">
        <v>4</v>
      </c>
      <c r="BZ9" s="202">
        <v>26177.58</v>
      </c>
      <c r="CA9" s="155" t="s">
        <v>21</v>
      </c>
      <c r="CB9" s="21">
        <v>4</v>
      </c>
      <c r="CC9" s="156">
        <v>1583000</v>
      </c>
      <c r="CE9" s="2"/>
      <c r="CF9" s="2"/>
    </row>
    <row r="10" spans="2:84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P10" s="18" t="s">
        <v>0</v>
      </c>
      <c r="Q10" s="4">
        <v>5</v>
      </c>
      <c r="R10" s="201">
        <v>15493.38</v>
      </c>
      <c r="S10" s="18" t="s">
        <v>1</v>
      </c>
      <c r="T10" s="4">
        <v>5</v>
      </c>
      <c r="U10" s="202">
        <v>16237.07</v>
      </c>
      <c r="V10" s="4" t="s">
        <v>2</v>
      </c>
      <c r="W10" s="4">
        <v>5</v>
      </c>
      <c r="X10" s="202">
        <v>17228.650000000001</v>
      </c>
      <c r="Y10" s="4" t="s">
        <v>3</v>
      </c>
      <c r="Z10" s="4">
        <v>5</v>
      </c>
      <c r="AA10" s="202">
        <v>17253.439999999999</v>
      </c>
      <c r="AB10" s="18" t="s">
        <v>4</v>
      </c>
      <c r="AC10" s="4">
        <v>5</v>
      </c>
      <c r="AD10" s="202">
        <v>18183.02</v>
      </c>
      <c r="AE10" s="18" t="s">
        <v>5</v>
      </c>
      <c r="AF10" s="21">
        <v>5</v>
      </c>
      <c r="AG10" s="202">
        <v>18418.5</v>
      </c>
      <c r="AH10" s="18" t="s">
        <v>6</v>
      </c>
      <c r="AI10" s="21">
        <v>5</v>
      </c>
      <c r="AJ10" s="202">
        <v>21665</v>
      </c>
      <c r="AK10" s="18" t="s">
        <v>7</v>
      </c>
      <c r="AL10" s="21">
        <v>5</v>
      </c>
      <c r="AM10" s="202">
        <v>23365</v>
      </c>
      <c r="AN10" s="18" t="s">
        <v>8</v>
      </c>
      <c r="AO10" s="21">
        <v>5</v>
      </c>
      <c r="AP10" s="202">
        <v>20029.849999999999</v>
      </c>
      <c r="AQ10" s="21" t="s">
        <v>9</v>
      </c>
      <c r="AR10" s="47">
        <v>5</v>
      </c>
      <c r="AS10" s="202">
        <v>21832.53</v>
      </c>
      <c r="AT10" s="18" t="s">
        <v>10</v>
      </c>
      <c r="AU10" s="21">
        <v>5</v>
      </c>
      <c r="AV10" s="202">
        <v>21913.81</v>
      </c>
      <c r="AW10" s="21" t="s">
        <v>11</v>
      </c>
      <c r="AX10" s="47">
        <v>5</v>
      </c>
      <c r="AY10" s="202">
        <v>23886.06</v>
      </c>
      <c r="AZ10" s="18" t="s">
        <v>12</v>
      </c>
      <c r="BA10" s="21">
        <v>5</v>
      </c>
      <c r="BB10" s="202">
        <v>22298.05</v>
      </c>
      <c r="BC10" s="21" t="s">
        <v>13</v>
      </c>
      <c r="BD10" s="47">
        <v>5</v>
      </c>
      <c r="BE10" s="202">
        <v>24304.86</v>
      </c>
      <c r="BF10" s="18" t="s">
        <v>14</v>
      </c>
      <c r="BG10" s="21">
        <v>5</v>
      </c>
      <c r="BH10" s="202">
        <v>22806.240000000002</v>
      </c>
      <c r="BI10" s="21" t="s">
        <v>15</v>
      </c>
      <c r="BJ10" s="47">
        <v>5</v>
      </c>
      <c r="BK10" s="202">
        <v>24858.82</v>
      </c>
      <c r="BL10" s="18" t="s">
        <v>16</v>
      </c>
      <c r="BM10" s="21">
        <v>5</v>
      </c>
      <c r="BN10" s="202">
        <v>23450.75</v>
      </c>
      <c r="BO10" s="21" t="s">
        <v>17</v>
      </c>
      <c r="BP10" s="47">
        <v>5</v>
      </c>
      <c r="BQ10" s="204">
        <v>25561.32</v>
      </c>
      <c r="BR10" s="18" t="s">
        <v>18</v>
      </c>
      <c r="BS10" s="21">
        <v>5</v>
      </c>
      <c r="BT10" s="202">
        <v>23450.75</v>
      </c>
      <c r="BU10" s="18" t="s">
        <v>19</v>
      </c>
      <c r="BV10" s="21">
        <v>5</v>
      </c>
      <c r="BW10" s="202">
        <v>25966.85</v>
      </c>
      <c r="BX10" s="18" t="s">
        <v>20</v>
      </c>
      <c r="BY10" s="21">
        <v>5</v>
      </c>
      <c r="BZ10" s="202">
        <v>26772.53</v>
      </c>
      <c r="CA10" s="155" t="s">
        <v>21</v>
      </c>
      <c r="CB10" s="21">
        <v>5</v>
      </c>
      <c r="CC10" s="156">
        <v>1622000</v>
      </c>
      <c r="CE10" s="2"/>
      <c r="CF10" s="2"/>
    </row>
    <row r="11" spans="2:84" x14ac:dyDescent="0.2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18" t="s">
        <v>0</v>
      </c>
      <c r="Q11" s="4">
        <v>6</v>
      </c>
      <c r="R11" s="201">
        <v>15741.28</v>
      </c>
      <c r="S11" s="18" t="s">
        <v>1</v>
      </c>
      <c r="T11" s="4">
        <v>6</v>
      </c>
      <c r="U11" s="202">
        <v>16509.759999999998</v>
      </c>
      <c r="V11" s="4" t="s">
        <v>2</v>
      </c>
      <c r="W11" s="4">
        <v>6</v>
      </c>
      <c r="X11" s="202">
        <v>17575.71</v>
      </c>
      <c r="Y11" s="4" t="s">
        <v>3</v>
      </c>
      <c r="Z11" s="4">
        <v>6</v>
      </c>
      <c r="AA11" s="202">
        <v>17600.5</v>
      </c>
      <c r="AB11" s="18" t="s">
        <v>4</v>
      </c>
      <c r="AC11" s="4">
        <v>6</v>
      </c>
      <c r="AD11" s="202">
        <v>18567.259999999998</v>
      </c>
      <c r="AE11" s="18" t="s">
        <v>5</v>
      </c>
      <c r="AF11" s="21">
        <v>6</v>
      </c>
      <c r="AG11" s="202">
        <v>18839.919999999998</v>
      </c>
      <c r="AH11" s="18" t="s">
        <v>6</v>
      </c>
      <c r="AI11" s="21">
        <v>6</v>
      </c>
      <c r="AJ11" s="202">
        <v>21865</v>
      </c>
      <c r="AK11" s="18" t="s">
        <v>7</v>
      </c>
      <c r="AL11" s="21">
        <v>6</v>
      </c>
      <c r="AM11" s="202">
        <v>23565</v>
      </c>
      <c r="AN11" s="18" t="s">
        <v>8</v>
      </c>
      <c r="AO11" s="21">
        <v>6</v>
      </c>
      <c r="AP11" s="202">
        <v>20565.310000000001</v>
      </c>
      <c r="AQ11" s="21" t="s">
        <v>9</v>
      </c>
      <c r="AR11" s="47">
        <v>6</v>
      </c>
      <c r="AS11" s="202">
        <v>22416.18</v>
      </c>
      <c r="AT11" s="18" t="s">
        <v>10</v>
      </c>
      <c r="AU11" s="21">
        <v>6</v>
      </c>
      <c r="AV11" s="202">
        <v>22479.01</v>
      </c>
      <c r="AW11" s="21" t="s">
        <v>11</v>
      </c>
      <c r="AX11" s="47">
        <v>6</v>
      </c>
      <c r="AY11" s="202">
        <v>24502.13</v>
      </c>
      <c r="AZ11" s="18" t="s">
        <v>12</v>
      </c>
      <c r="BA11" s="21">
        <v>6</v>
      </c>
      <c r="BB11" s="202">
        <v>22890.52</v>
      </c>
      <c r="BC11" s="21" t="s">
        <v>13</v>
      </c>
      <c r="BD11" s="47">
        <v>6</v>
      </c>
      <c r="BE11" s="202">
        <v>24950.65</v>
      </c>
      <c r="BF11" s="18" t="s">
        <v>14</v>
      </c>
      <c r="BG11" s="21">
        <v>6</v>
      </c>
      <c r="BH11" s="202">
        <v>23450.77</v>
      </c>
      <c r="BI11" s="21" t="s">
        <v>15</v>
      </c>
      <c r="BJ11" s="47">
        <v>6</v>
      </c>
      <c r="BK11" s="202">
        <v>25561.360000000001</v>
      </c>
      <c r="BL11" s="18" t="s">
        <v>16</v>
      </c>
      <c r="BM11" s="21">
        <v>6</v>
      </c>
      <c r="BN11" s="202">
        <v>24070.49</v>
      </c>
      <c r="BO11" s="21" t="s">
        <v>17</v>
      </c>
      <c r="BP11" s="47">
        <v>6</v>
      </c>
      <c r="BQ11" s="204">
        <v>26236.83</v>
      </c>
      <c r="BR11" s="18" t="s">
        <v>18</v>
      </c>
      <c r="BS11" s="21">
        <v>6</v>
      </c>
      <c r="BT11" s="202">
        <v>24070.49</v>
      </c>
      <c r="BU11" s="18" t="s">
        <v>19</v>
      </c>
      <c r="BV11" s="21">
        <v>6</v>
      </c>
      <c r="BW11" s="202">
        <v>26549.4</v>
      </c>
      <c r="BX11" s="18" t="s">
        <v>20</v>
      </c>
      <c r="BY11" s="21">
        <v>6</v>
      </c>
      <c r="BZ11" s="202">
        <v>27367.48</v>
      </c>
      <c r="CA11" s="155" t="s">
        <v>21</v>
      </c>
      <c r="CB11" s="21">
        <v>6</v>
      </c>
      <c r="CC11" s="156">
        <v>1661000</v>
      </c>
      <c r="CE11" s="2"/>
      <c r="CF11" s="2"/>
    </row>
    <row r="12" spans="2:84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P12" s="18" t="s">
        <v>0</v>
      </c>
      <c r="Q12" s="4">
        <v>7</v>
      </c>
      <c r="R12" s="201">
        <v>15989.18</v>
      </c>
      <c r="S12" s="18" t="s">
        <v>1</v>
      </c>
      <c r="T12" s="4">
        <v>7</v>
      </c>
      <c r="U12" s="202">
        <v>16782.45</v>
      </c>
      <c r="V12" s="4" t="s">
        <v>2</v>
      </c>
      <c r="W12" s="4">
        <v>7</v>
      </c>
      <c r="X12" s="202">
        <v>17922.77</v>
      </c>
      <c r="Y12" s="4" t="s">
        <v>3</v>
      </c>
      <c r="Z12" s="4">
        <v>7</v>
      </c>
      <c r="AA12" s="202">
        <v>17947.560000000001</v>
      </c>
      <c r="AB12" s="18" t="s">
        <v>4</v>
      </c>
      <c r="AC12" s="4">
        <v>7</v>
      </c>
      <c r="AD12" s="202">
        <v>18951.5</v>
      </c>
      <c r="AE12" s="18" t="s">
        <v>5</v>
      </c>
      <c r="AF12" s="21">
        <v>7</v>
      </c>
      <c r="AG12" s="202">
        <v>19261.34</v>
      </c>
      <c r="AH12" s="18" t="s">
        <v>6</v>
      </c>
      <c r="AI12" s="21">
        <v>7</v>
      </c>
      <c r="AJ12" s="202">
        <v>22064</v>
      </c>
      <c r="AK12" s="18" t="s">
        <v>7</v>
      </c>
      <c r="AL12" s="21">
        <v>7</v>
      </c>
      <c r="AM12" s="202">
        <v>23764</v>
      </c>
      <c r="AN12" s="18" t="s">
        <v>8</v>
      </c>
      <c r="AO12" s="21">
        <v>7</v>
      </c>
      <c r="AP12" s="202">
        <v>21100.77</v>
      </c>
      <c r="AQ12" s="21" t="s">
        <v>9</v>
      </c>
      <c r="AR12" s="47">
        <v>7</v>
      </c>
      <c r="AS12" s="202">
        <v>22999.83</v>
      </c>
      <c r="AT12" s="18" t="s">
        <v>10</v>
      </c>
      <c r="AU12" s="21">
        <v>7</v>
      </c>
      <c r="AV12" s="202">
        <v>23044.21</v>
      </c>
      <c r="AW12" s="21" t="s">
        <v>11</v>
      </c>
      <c r="AX12" s="47">
        <v>7</v>
      </c>
      <c r="AY12" s="202">
        <v>25118.2</v>
      </c>
      <c r="AZ12" s="18" t="s">
        <v>12</v>
      </c>
      <c r="BA12" s="21">
        <v>7</v>
      </c>
      <c r="BB12" s="202">
        <v>23482.99</v>
      </c>
      <c r="BC12" s="21" t="s">
        <v>13</v>
      </c>
      <c r="BD12" s="47">
        <v>7</v>
      </c>
      <c r="BE12" s="202">
        <v>25596.44</v>
      </c>
      <c r="BF12" s="18" t="s">
        <v>14</v>
      </c>
      <c r="BG12" s="21">
        <v>7</v>
      </c>
      <c r="BH12" s="202">
        <v>24095.3</v>
      </c>
      <c r="BI12" s="21" t="s">
        <v>15</v>
      </c>
      <c r="BJ12" s="47">
        <v>7</v>
      </c>
      <c r="BK12" s="202">
        <v>26263.9</v>
      </c>
      <c r="BL12" s="18" t="s">
        <v>16</v>
      </c>
      <c r="BM12" s="21">
        <v>7</v>
      </c>
      <c r="BN12" s="202">
        <v>24690.23</v>
      </c>
      <c r="BO12" s="21" t="s">
        <v>17</v>
      </c>
      <c r="BP12" s="47">
        <v>7</v>
      </c>
      <c r="BQ12" s="204">
        <v>26912.34</v>
      </c>
      <c r="BR12" s="18" t="s">
        <v>18</v>
      </c>
      <c r="BS12" s="21">
        <v>7</v>
      </c>
      <c r="BT12" s="202">
        <v>24690.23</v>
      </c>
      <c r="BU12" s="18" t="s">
        <v>19</v>
      </c>
      <c r="BV12" s="21">
        <v>7</v>
      </c>
      <c r="BW12" s="202">
        <v>27131.95</v>
      </c>
      <c r="BX12" s="18" t="s">
        <v>20</v>
      </c>
      <c r="BY12" s="21">
        <v>7</v>
      </c>
      <c r="BZ12" s="202">
        <v>27962.43</v>
      </c>
      <c r="CA12" s="155" t="s">
        <v>21</v>
      </c>
      <c r="CB12" s="21">
        <v>7</v>
      </c>
      <c r="CC12" s="156">
        <v>1700000</v>
      </c>
      <c r="CE12" s="2"/>
      <c r="CF12" s="2"/>
    </row>
    <row r="13" spans="2:84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P13" s="18" t="s">
        <v>0</v>
      </c>
      <c r="Q13" s="4">
        <v>8</v>
      </c>
      <c r="R13" s="201">
        <v>16237.08</v>
      </c>
      <c r="S13" s="18" t="s">
        <v>1</v>
      </c>
      <c r="T13" s="4">
        <v>8</v>
      </c>
      <c r="U13" s="202">
        <v>17055.14</v>
      </c>
      <c r="V13" s="4" t="s">
        <v>2</v>
      </c>
      <c r="W13" s="4">
        <v>8</v>
      </c>
      <c r="X13" s="202">
        <v>18269.830000000002</v>
      </c>
      <c r="Y13" s="4" t="s">
        <v>3</v>
      </c>
      <c r="Z13" s="4">
        <v>8</v>
      </c>
      <c r="AA13" s="202">
        <v>18294.62</v>
      </c>
      <c r="AB13" s="18" t="s">
        <v>4</v>
      </c>
      <c r="AC13" s="4">
        <v>8</v>
      </c>
      <c r="AD13" s="202">
        <v>19335.740000000002</v>
      </c>
      <c r="AE13" s="18" t="s">
        <v>5</v>
      </c>
      <c r="AF13" s="21">
        <v>8</v>
      </c>
      <c r="AG13" s="202">
        <v>19682.759999999998</v>
      </c>
      <c r="AH13" s="18" t="s">
        <v>6</v>
      </c>
      <c r="AI13" s="21">
        <v>8</v>
      </c>
      <c r="AJ13" s="202">
        <v>22264</v>
      </c>
      <c r="AK13" s="18" t="s">
        <v>7</v>
      </c>
      <c r="AL13" s="21">
        <v>8</v>
      </c>
      <c r="AM13" s="202">
        <v>23964</v>
      </c>
      <c r="AN13" s="18" t="s">
        <v>8</v>
      </c>
      <c r="AO13" s="21">
        <v>8</v>
      </c>
      <c r="AP13" s="202">
        <v>21636.23</v>
      </c>
      <c r="AQ13" s="21" t="s">
        <v>9</v>
      </c>
      <c r="AR13" s="47">
        <v>8</v>
      </c>
      <c r="AS13" s="202">
        <v>23583.48</v>
      </c>
      <c r="AT13" s="18" t="s">
        <v>10</v>
      </c>
      <c r="AU13" s="21">
        <v>8</v>
      </c>
      <c r="AV13" s="202">
        <v>23609.41</v>
      </c>
      <c r="AW13" s="21" t="s">
        <v>11</v>
      </c>
      <c r="AX13" s="47">
        <v>8</v>
      </c>
      <c r="AY13" s="202">
        <v>25734.27</v>
      </c>
      <c r="AZ13" s="18" t="s">
        <v>12</v>
      </c>
      <c r="BA13" s="21">
        <v>8</v>
      </c>
      <c r="BB13" s="202">
        <v>24075.46</v>
      </c>
      <c r="BC13" s="21" t="s">
        <v>13</v>
      </c>
      <c r="BD13" s="47">
        <v>8</v>
      </c>
      <c r="BE13" s="202">
        <v>26242.23</v>
      </c>
      <c r="BF13" s="18" t="s">
        <v>14</v>
      </c>
      <c r="BG13" s="21">
        <v>8</v>
      </c>
      <c r="BH13" s="202">
        <v>24739.83</v>
      </c>
      <c r="BI13" s="21" t="s">
        <v>15</v>
      </c>
      <c r="BJ13" s="47">
        <v>8</v>
      </c>
      <c r="BK13" s="202">
        <v>26966.44</v>
      </c>
      <c r="BL13" s="18" t="s">
        <v>16</v>
      </c>
      <c r="BM13" s="21">
        <v>8</v>
      </c>
      <c r="BN13" s="202">
        <v>25309.97</v>
      </c>
      <c r="BO13" s="21" t="s">
        <v>17</v>
      </c>
      <c r="BP13" s="47">
        <v>8</v>
      </c>
      <c r="BQ13" s="204">
        <v>27587.85</v>
      </c>
      <c r="BR13" s="18" t="s">
        <v>18</v>
      </c>
      <c r="BS13" s="21">
        <v>8</v>
      </c>
      <c r="BT13" s="202">
        <v>25309.97</v>
      </c>
      <c r="BU13" s="18" t="s">
        <v>19</v>
      </c>
      <c r="BV13" s="21">
        <v>8</v>
      </c>
      <c r="BW13" s="202">
        <v>27714.5</v>
      </c>
      <c r="BX13" s="18" t="s">
        <v>20</v>
      </c>
      <c r="BY13" s="21">
        <v>8</v>
      </c>
      <c r="BZ13" s="202">
        <v>28557.38</v>
      </c>
      <c r="CA13" s="155" t="s">
        <v>21</v>
      </c>
      <c r="CB13" s="21">
        <v>8</v>
      </c>
      <c r="CC13" s="156">
        <v>1739000</v>
      </c>
      <c r="CE13" s="2"/>
      <c r="CF13" s="2"/>
    </row>
    <row r="14" spans="2:84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P14" s="18" t="s">
        <v>0</v>
      </c>
      <c r="Q14" s="4">
        <v>9</v>
      </c>
      <c r="R14" s="201">
        <v>16484.98</v>
      </c>
      <c r="S14" s="18" t="s">
        <v>1</v>
      </c>
      <c r="T14" s="4">
        <v>9</v>
      </c>
      <c r="U14" s="202">
        <v>17327.830000000002</v>
      </c>
      <c r="V14" s="4" t="s">
        <v>2</v>
      </c>
      <c r="W14" s="4">
        <v>9</v>
      </c>
      <c r="X14" s="202">
        <v>18616.89</v>
      </c>
      <c r="Y14" s="4" t="s">
        <v>3</v>
      </c>
      <c r="Z14" s="4">
        <v>9</v>
      </c>
      <c r="AA14" s="202">
        <v>18641.68</v>
      </c>
      <c r="AB14" s="18" t="s">
        <v>4</v>
      </c>
      <c r="AC14" s="4">
        <v>9</v>
      </c>
      <c r="AD14" s="202">
        <v>19719.98</v>
      </c>
      <c r="AE14" s="18" t="s">
        <v>5</v>
      </c>
      <c r="AF14" s="21">
        <v>9</v>
      </c>
      <c r="AG14" s="202">
        <v>20104.18</v>
      </c>
      <c r="AH14" s="18" t="s">
        <v>6</v>
      </c>
      <c r="AI14" s="21">
        <v>9</v>
      </c>
      <c r="AJ14" s="202">
        <v>22464</v>
      </c>
      <c r="AK14" s="18" t="s">
        <v>7</v>
      </c>
      <c r="AL14" s="21">
        <v>9</v>
      </c>
      <c r="AM14" s="202">
        <v>24164</v>
      </c>
      <c r="AN14" s="18" t="s">
        <v>8</v>
      </c>
      <c r="AO14" s="21">
        <v>9</v>
      </c>
      <c r="AP14" s="202">
        <v>22171.69</v>
      </c>
      <c r="AQ14" s="21" t="s">
        <v>9</v>
      </c>
      <c r="AR14" s="47">
        <v>9</v>
      </c>
      <c r="AS14" s="202">
        <v>24167.13</v>
      </c>
      <c r="AT14" s="18" t="s">
        <v>10</v>
      </c>
      <c r="AU14" s="21">
        <v>9</v>
      </c>
      <c r="AV14" s="202">
        <v>24174.61</v>
      </c>
      <c r="AW14" s="21" t="s">
        <v>11</v>
      </c>
      <c r="AX14" s="47">
        <v>9</v>
      </c>
      <c r="AY14" s="202">
        <v>26350.34</v>
      </c>
      <c r="AZ14" s="18" t="s">
        <v>12</v>
      </c>
      <c r="BA14" s="21">
        <v>9</v>
      </c>
      <c r="BB14" s="202">
        <v>24667.93</v>
      </c>
      <c r="BC14" s="21" t="s">
        <v>13</v>
      </c>
      <c r="BD14" s="47">
        <v>9</v>
      </c>
      <c r="BE14" s="202">
        <v>26888.02</v>
      </c>
      <c r="BF14" s="18" t="s">
        <v>14</v>
      </c>
      <c r="BG14" s="21">
        <v>9</v>
      </c>
      <c r="BH14" s="202">
        <v>25384.36</v>
      </c>
      <c r="BI14" s="21" t="s">
        <v>15</v>
      </c>
      <c r="BJ14" s="47">
        <v>9</v>
      </c>
      <c r="BK14" s="202">
        <v>27668.98</v>
      </c>
      <c r="BL14" s="18" t="s">
        <v>16</v>
      </c>
      <c r="BM14" s="21">
        <v>9</v>
      </c>
      <c r="BN14" s="202">
        <v>25929.71</v>
      </c>
      <c r="BO14" s="21" t="s">
        <v>17</v>
      </c>
      <c r="BP14" s="47">
        <v>9</v>
      </c>
      <c r="BQ14" s="204">
        <v>28263.360000000001</v>
      </c>
      <c r="BR14" s="18" t="s">
        <v>18</v>
      </c>
      <c r="BS14" s="21">
        <v>9</v>
      </c>
      <c r="BT14" s="202">
        <v>25929.71</v>
      </c>
      <c r="BU14" s="18" t="s">
        <v>19</v>
      </c>
      <c r="BV14" s="21">
        <v>9</v>
      </c>
      <c r="BW14" s="202">
        <v>28297.05</v>
      </c>
      <c r="BX14" s="18" t="s">
        <v>20</v>
      </c>
      <c r="BY14" s="21">
        <v>9</v>
      </c>
      <c r="BZ14" s="202">
        <v>29152.33</v>
      </c>
      <c r="CA14" s="155" t="s">
        <v>21</v>
      </c>
      <c r="CB14" s="21">
        <v>9</v>
      </c>
      <c r="CC14" s="156">
        <v>1778000</v>
      </c>
      <c r="CE14" s="2"/>
      <c r="CF14" s="2"/>
    </row>
    <row r="15" spans="2:84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P15" s="18" t="s">
        <v>0</v>
      </c>
      <c r="Q15" s="4">
        <v>10</v>
      </c>
      <c r="R15" s="201">
        <v>16732.88</v>
      </c>
      <c r="S15" s="18" t="s">
        <v>1</v>
      </c>
      <c r="T15" s="4">
        <v>10</v>
      </c>
      <c r="U15" s="202">
        <v>17600.52</v>
      </c>
      <c r="V15" s="4" t="s">
        <v>2</v>
      </c>
      <c r="W15" s="4">
        <v>10</v>
      </c>
      <c r="X15" s="202">
        <v>18963.95</v>
      </c>
      <c r="Y15" s="4" t="s">
        <v>3</v>
      </c>
      <c r="Z15" s="4">
        <v>10</v>
      </c>
      <c r="AA15" s="202">
        <v>18988.740000000002</v>
      </c>
      <c r="AB15" s="18" t="s">
        <v>4</v>
      </c>
      <c r="AC15" s="4">
        <v>10</v>
      </c>
      <c r="AD15" s="202">
        <v>20104.22</v>
      </c>
      <c r="AE15" s="18" t="s">
        <v>5</v>
      </c>
      <c r="AF15" s="21">
        <v>10</v>
      </c>
      <c r="AG15" s="202">
        <v>20525.599999999999</v>
      </c>
      <c r="AH15" s="18" t="s">
        <v>6</v>
      </c>
      <c r="AI15" s="21">
        <v>10</v>
      </c>
      <c r="AJ15" s="202">
        <v>22664</v>
      </c>
      <c r="AK15" s="18" t="s">
        <v>7</v>
      </c>
      <c r="AL15" s="21">
        <v>10</v>
      </c>
      <c r="AM15" s="202">
        <v>24364</v>
      </c>
      <c r="AN15" s="18" t="s">
        <v>8</v>
      </c>
      <c r="AO15" s="21">
        <v>10</v>
      </c>
      <c r="AP15" s="202">
        <v>22707.15</v>
      </c>
      <c r="AQ15" s="21" t="s">
        <v>9</v>
      </c>
      <c r="AR15" s="47">
        <v>10</v>
      </c>
      <c r="AS15" s="202">
        <v>24750.78</v>
      </c>
      <c r="AT15" s="18" t="s">
        <v>10</v>
      </c>
      <c r="AU15" s="21">
        <v>10</v>
      </c>
      <c r="AV15" s="202">
        <v>24739.81</v>
      </c>
      <c r="AW15" s="21" t="s">
        <v>11</v>
      </c>
      <c r="AX15" s="47">
        <v>10</v>
      </c>
      <c r="AY15" s="202">
        <v>26966.41</v>
      </c>
      <c r="AZ15" s="18" t="s">
        <v>12</v>
      </c>
      <c r="BA15" s="21">
        <v>10</v>
      </c>
      <c r="BB15" s="202">
        <v>25260.400000000001</v>
      </c>
      <c r="BC15" s="21" t="s">
        <v>13</v>
      </c>
      <c r="BD15" s="47">
        <v>10</v>
      </c>
      <c r="BE15" s="202">
        <v>27533.81</v>
      </c>
      <c r="BF15" s="18" t="s">
        <v>14</v>
      </c>
      <c r="BG15" s="21">
        <v>10</v>
      </c>
      <c r="BH15" s="202">
        <v>26028.89</v>
      </c>
      <c r="BI15" s="21" t="s">
        <v>15</v>
      </c>
      <c r="BJ15" s="47">
        <v>10</v>
      </c>
      <c r="BK15" s="202">
        <v>28371.52</v>
      </c>
      <c r="BL15" s="18" t="s">
        <v>16</v>
      </c>
      <c r="BM15" s="21">
        <v>10</v>
      </c>
      <c r="BN15" s="202">
        <v>26549.45</v>
      </c>
      <c r="BO15" s="21" t="s">
        <v>17</v>
      </c>
      <c r="BP15" s="47">
        <v>10</v>
      </c>
      <c r="BQ15" s="204">
        <v>28938.87</v>
      </c>
      <c r="BR15" s="18" t="s">
        <v>18</v>
      </c>
      <c r="BS15" s="21">
        <v>10</v>
      </c>
      <c r="BT15" s="202">
        <v>26549.45</v>
      </c>
      <c r="BU15" s="18" t="s">
        <v>19</v>
      </c>
      <c r="BV15" s="21">
        <v>10</v>
      </c>
      <c r="BW15" s="202">
        <v>28879.599999999999</v>
      </c>
      <c r="BX15" s="18" t="s">
        <v>20</v>
      </c>
      <c r="BY15" s="21">
        <v>10</v>
      </c>
      <c r="BZ15" s="202">
        <v>29747.279999999999</v>
      </c>
      <c r="CA15" s="155" t="s">
        <v>21</v>
      </c>
      <c r="CB15" s="21">
        <v>10</v>
      </c>
      <c r="CC15" s="156">
        <v>1817000</v>
      </c>
      <c r="CE15" s="2"/>
      <c r="CF15" s="2"/>
    </row>
    <row r="16" spans="2:84" x14ac:dyDescent="0.2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P16" s="18" t="s">
        <v>0</v>
      </c>
      <c r="Q16" s="4">
        <v>11</v>
      </c>
      <c r="R16" s="201">
        <v>16980.78</v>
      </c>
      <c r="S16" s="18" t="s">
        <v>1</v>
      </c>
      <c r="T16" s="4">
        <v>11</v>
      </c>
      <c r="U16" s="202">
        <v>17873.21</v>
      </c>
      <c r="V16" s="4" t="s">
        <v>2</v>
      </c>
      <c r="W16" s="4">
        <v>11</v>
      </c>
      <c r="X16" s="202">
        <v>19311.009999999998</v>
      </c>
      <c r="Y16" s="4" t="s">
        <v>3</v>
      </c>
      <c r="Z16" s="4">
        <v>11</v>
      </c>
      <c r="AA16" s="202">
        <v>19335.8</v>
      </c>
      <c r="AB16" s="18" t="s">
        <v>4</v>
      </c>
      <c r="AC16" s="4">
        <v>11</v>
      </c>
      <c r="AD16" s="202">
        <v>20488.46</v>
      </c>
      <c r="AE16" s="18" t="s">
        <v>5</v>
      </c>
      <c r="AF16" s="21">
        <v>11</v>
      </c>
      <c r="AG16" s="202">
        <v>20947.02</v>
      </c>
      <c r="AH16" s="18" t="s">
        <v>6</v>
      </c>
      <c r="AI16" s="21">
        <v>11</v>
      </c>
      <c r="AJ16" s="202">
        <v>22863</v>
      </c>
      <c r="AK16" s="18" t="s">
        <v>7</v>
      </c>
      <c r="AL16" s="21">
        <v>11</v>
      </c>
      <c r="AM16" s="202">
        <v>24563</v>
      </c>
      <c r="AN16" s="18" t="s">
        <v>8</v>
      </c>
      <c r="AO16" s="21">
        <v>11</v>
      </c>
      <c r="AP16" s="202">
        <v>23242.61</v>
      </c>
      <c r="AQ16" s="21" t="s">
        <v>9</v>
      </c>
      <c r="AR16" s="47">
        <v>11</v>
      </c>
      <c r="AS16" s="202">
        <v>25334.43</v>
      </c>
      <c r="AT16" s="18" t="s">
        <v>10</v>
      </c>
      <c r="AU16" s="21">
        <v>11</v>
      </c>
      <c r="AV16" s="202">
        <v>25305.01</v>
      </c>
      <c r="AW16" s="21" t="s">
        <v>11</v>
      </c>
      <c r="AX16" s="47">
        <v>11</v>
      </c>
      <c r="AY16" s="202">
        <v>27582.48</v>
      </c>
      <c r="AZ16" s="18" t="s">
        <v>12</v>
      </c>
      <c r="BA16" s="21">
        <v>11</v>
      </c>
      <c r="BB16" s="202">
        <v>25852.87</v>
      </c>
      <c r="BC16" s="21" t="s">
        <v>13</v>
      </c>
      <c r="BD16" s="47">
        <v>11</v>
      </c>
      <c r="BE16" s="202">
        <v>28179.599999999999</v>
      </c>
      <c r="BF16" s="18" t="s">
        <v>14</v>
      </c>
      <c r="BG16" s="21">
        <v>11</v>
      </c>
      <c r="BH16" s="202">
        <v>26673.42</v>
      </c>
      <c r="BI16" s="21" t="s">
        <v>15</v>
      </c>
      <c r="BJ16" s="47">
        <v>11</v>
      </c>
      <c r="BK16" s="202">
        <v>29074.06</v>
      </c>
      <c r="BL16" s="18" t="s">
        <v>16</v>
      </c>
      <c r="BM16" s="21">
        <v>11</v>
      </c>
      <c r="BN16" s="202">
        <v>27169.19</v>
      </c>
      <c r="BO16" s="21" t="s">
        <v>17</v>
      </c>
      <c r="BP16" s="47">
        <v>11</v>
      </c>
      <c r="BQ16" s="204">
        <v>29614.38</v>
      </c>
      <c r="BR16" s="18" t="s">
        <v>18</v>
      </c>
      <c r="BS16" s="21">
        <v>11</v>
      </c>
      <c r="BT16" s="202">
        <v>27169.19</v>
      </c>
      <c r="BU16" s="18" t="s">
        <v>19</v>
      </c>
      <c r="BV16" s="21">
        <v>11</v>
      </c>
      <c r="BW16" s="202">
        <v>29462.15</v>
      </c>
      <c r="BX16" s="18" t="s">
        <v>20</v>
      </c>
      <c r="BY16" s="21">
        <v>11</v>
      </c>
      <c r="BZ16" s="202">
        <v>30342.23</v>
      </c>
      <c r="CA16" s="155" t="s">
        <v>21</v>
      </c>
      <c r="CB16" s="21">
        <v>11</v>
      </c>
      <c r="CC16" s="156">
        <v>1856000</v>
      </c>
      <c r="CE16" s="2"/>
      <c r="CF16" s="2"/>
    </row>
    <row r="17" spans="2:84" x14ac:dyDescent="0.2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P17" s="18" t="s">
        <v>0</v>
      </c>
      <c r="Q17" s="4">
        <v>12</v>
      </c>
      <c r="R17" s="201">
        <v>17228.68</v>
      </c>
      <c r="S17" s="18" t="s">
        <v>1</v>
      </c>
      <c r="T17" s="4">
        <v>12</v>
      </c>
      <c r="U17" s="202">
        <v>18145.900000000001</v>
      </c>
      <c r="V17" s="4" t="s">
        <v>2</v>
      </c>
      <c r="W17" s="4">
        <v>12</v>
      </c>
      <c r="X17" s="202">
        <v>19658.07</v>
      </c>
      <c r="Y17" s="4" t="s">
        <v>3</v>
      </c>
      <c r="Z17" s="4">
        <v>12</v>
      </c>
      <c r="AA17" s="202">
        <v>19682.86</v>
      </c>
      <c r="AB17" s="18" t="s">
        <v>4</v>
      </c>
      <c r="AC17" s="4">
        <v>12</v>
      </c>
      <c r="AD17" s="202">
        <v>20872.7</v>
      </c>
      <c r="AE17" s="18" t="s">
        <v>5</v>
      </c>
      <c r="AF17" s="21">
        <v>12</v>
      </c>
      <c r="AG17" s="202">
        <v>21368.44</v>
      </c>
      <c r="AH17" s="18" t="s">
        <v>6</v>
      </c>
      <c r="AI17" s="21">
        <v>12</v>
      </c>
      <c r="AJ17" s="202">
        <v>23063</v>
      </c>
      <c r="AK17" s="18" t="s">
        <v>7</v>
      </c>
      <c r="AL17" s="21">
        <v>12</v>
      </c>
      <c r="AM17" s="202">
        <v>24763</v>
      </c>
      <c r="AN17" s="18" t="s">
        <v>8</v>
      </c>
      <c r="AO17" s="21">
        <v>12</v>
      </c>
      <c r="AP17" s="202">
        <v>23778.07</v>
      </c>
      <c r="AQ17" s="21" t="s">
        <v>9</v>
      </c>
      <c r="AR17" s="47">
        <v>12</v>
      </c>
      <c r="AS17" s="202">
        <v>25918.080000000002</v>
      </c>
      <c r="AT17" s="18" t="s">
        <v>10</v>
      </c>
      <c r="AU17" s="21">
        <v>12</v>
      </c>
      <c r="AV17" s="202">
        <v>25870.21</v>
      </c>
      <c r="AW17" s="21" t="s">
        <v>11</v>
      </c>
      <c r="AX17" s="47">
        <v>12</v>
      </c>
      <c r="AY17" s="202">
        <v>28198.55</v>
      </c>
      <c r="AZ17" s="18" t="s">
        <v>12</v>
      </c>
      <c r="BA17" s="21">
        <v>12</v>
      </c>
      <c r="BB17" s="202">
        <v>26445.34</v>
      </c>
      <c r="BC17" s="21" t="s">
        <v>13</v>
      </c>
      <c r="BD17" s="47">
        <v>12</v>
      </c>
      <c r="BE17" s="202">
        <v>28825.39</v>
      </c>
      <c r="BF17" s="18" t="s">
        <v>14</v>
      </c>
      <c r="BG17" s="21">
        <v>12</v>
      </c>
      <c r="BH17" s="202">
        <v>27317.95</v>
      </c>
      <c r="BI17" s="21" t="s">
        <v>15</v>
      </c>
      <c r="BJ17" s="47">
        <v>12</v>
      </c>
      <c r="BK17" s="202">
        <v>29776.6</v>
      </c>
      <c r="BL17" s="18" t="s">
        <v>16</v>
      </c>
      <c r="BM17" s="21">
        <v>12</v>
      </c>
      <c r="BN17" s="202">
        <v>27788.93</v>
      </c>
      <c r="BO17" s="21" t="s">
        <v>17</v>
      </c>
      <c r="BP17" s="47">
        <v>12</v>
      </c>
      <c r="BQ17" s="204">
        <v>30289.89</v>
      </c>
      <c r="BR17" s="18" t="s">
        <v>18</v>
      </c>
      <c r="BS17" s="21">
        <v>12</v>
      </c>
      <c r="BT17" s="202">
        <v>27788.93</v>
      </c>
      <c r="BU17" s="18" t="s">
        <v>19</v>
      </c>
      <c r="BV17" s="21">
        <v>12</v>
      </c>
      <c r="BW17" s="202">
        <v>30044.7</v>
      </c>
      <c r="BX17" s="18" t="s">
        <v>20</v>
      </c>
      <c r="BY17" s="21">
        <v>12</v>
      </c>
      <c r="BZ17" s="202">
        <v>30937.18</v>
      </c>
      <c r="CA17" s="155" t="s">
        <v>21</v>
      </c>
      <c r="CB17" s="21">
        <v>12</v>
      </c>
      <c r="CC17" s="156">
        <v>1895000</v>
      </c>
      <c r="CE17" s="2"/>
      <c r="CF17" s="2"/>
    </row>
    <row r="18" spans="2:84" x14ac:dyDescent="0.2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P18" s="18" t="s">
        <v>0</v>
      </c>
      <c r="Q18" s="4">
        <v>13</v>
      </c>
      <c r="R18" s="201">
        <v>17476.580000000002</v>
      </c>
      <c r="S18" s="18" t="s">
        <v>1</v>
      </c>
      <c r="T18" s="4">
        <v>13</v>
      </c>
      <c r="U18" s="202">
        <v>18418.59</v>
      </c>
      <c r="V18" s="4" t="s">
        <v>2</v>
      </c>
      <c r="W18" s="4">
        <v>13</v>
      </c>
      <c r="X18" s="202">
        <v>20005.13</v>
      </c>
      <c r="Y18" s="4" t="s">
        <v>3</v>
      </c>
      <c r="Z18" s="4">
        <v>13</v>
      </c>
      <c r="AA18" s="202">
        <v>20029.919999999998</v>
      </c>
      <c r="AB18" s="18" t="s">
        <v>4</v>
      </c>
      <c r="AC18" s="4">
        <v>13</v>
      </c>
      <c r="AD18" s="202">
        <v>21256.94</v>
      </c>
      <c r="AE18" s="18" t="s">
        <v>5</v>
      </c>
      <c r="AF18" s="21">
        <v>13</v>
      </c>
      <c r="AG18" s="202">
        <v>21789.86</v>
      </c>
      <c r="AH18" s="18" t="s">
        <v>6</v>
      </c>
      <c r="AI18" s="21">
        <v>13</v>
      </c>
      <c r="AJ18" s="202">
        <v>23263</v>
      </c>
      <c r="AK18" s="18" t="s">
        <v>7</v>
      </c>
      <c r="AL18" s="21">
        <v>13</v>
      </c>
      <c r="AM18" s="202">
        <v>24963</v>
      </c>
      <c r="AN18" s="18" t="s">
        <v>8</v>
      </c>
      <c r="AO18" s="21">
        <v>13</v>
      </c>
      <c r="AP18" s="202">
        <v>24313.53</v>
      </c>
      <c r="AQ18" s="21" t="s">
        <v>9</v>
      </c>
      <c r="AR18" s="47">
        <v>13</v>
      </c>
      <c r="AS18" s="202">
        <v>26501.73</v>
      </c>
      <c r="AT18" s="18" t="s">
        <v>10</v>
      </c>
      <c r="AU18" s="21">
        <v>13</v>
      </c>
      <c r="AV18" s="202">
        <v>26435.41</v>
      </c>
      <c r="AW18" s="21" t="s">
        <v>11</v>
      </c>
      <c r="AX18" s="47">
        <v>13</v>
      </c>
      <c r="AY18" s="202">
        <v>28814.62</v>
      </c>
      <c r="AZ18" s="18" t="s">
        <v>12</v>
      </c>
      <c r="BA18" s="21">
        <v>13</v>
      </c>
      <c r="BB18" s="202">
        <v>27037.81</v>
      </c>
      <c r="BC18" s="21" t="s">
        <v>13</v>
      </c>
      <c r="BD18" s="47">
        <v>13</v>
      </c>
      <c r="BE18" s="202">
        <v>29471.18</v>
      </c>
      <c r="BF18" s="18" t="s">
        <v>14</v>
      </c>
      <c r="BG18" s="21">
        <v>13</v>
      </c>
      <c r="BH18" s="202">
        <v>27962.48</v>
      </c>
      <c r="BI18" s="21" t="s">
        <v>15</v>
      </c>
      <c r="BJ18" s="47">
        <v>13</v>
      </c>
      <c r="BK18" s="202">
        <v>30479.14</v>
      </c>
      <c r="BL18" s="18" t="s">
        <v>16</v>
      </c>
      <c r="BM18" s="21">
        <v>13</v>
      </c>
      <c r="BN18" s="202">
        <v>28408.67</v>
      </c>
      <c r="BO18" s="21" t="s">
        <v>17</v>
      </c>
      <c r="BP18" s="47">
        <v>13</v>
      </c>
      <c r="BQ18" s="204">
        <v>30965.4</v>
      </c>
      <c r="BR18" s="18" t="s">
        <v>18</v>
      </c>
      <c r="BS18" s="21">
        <v>13</v>
      </c>
      <c r="BT18" s="202">
        <v>28408.67</v>
      </c>
      <c r="BU18" s="18" t="s">
        <v>19</v>
      </c>
      <c r="BV18" s="21">
        <v>13</v>
      </c>
      <c r="BW18" s="202">
        <v>30627.25</v>
      </c>
      <c r="BX18" s="18" t="s">
        <v>20</v>
      </c>
      <c r="BY18" s="21">
        <v>13</v>
      </c>
      <c r="BZ18" s="202">
        <v>31532.13</v>
      </c>
      <c r="CA18" s="155" t="s">
        <v>21</v>
      </c>
      <c r="CB18" s="21">
        <v>13</v>
      </c>
      <c r="CC18" s="156">
        <v>1910000</v>
      </c>
      <c r="CE18" s="2"/>
      <c r="CF18" s="2"/>
    </row>
    <row r="19" spans="2:84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P19" s="18" t="s">
        <v>0</v>
      </c>
      <c r="Q19" s="4">
        <v>14</v>
      </c>
      <c r="R19" s="201">
        <v>17612.93</v>
      </c>
      <c r="S19" s="18" t="s">
        <v>1</v>
      </c>
      <c r="T19" s="4">
        <v>14</v>
      </c>
      <c r="U19" s="202">
        <v>18567.330000000002</v>
      </c>
      <c r="V19" s="4" t="s">
        <v>2</v>
      </c>
      <c r="W19" s="4">
        <v>14</v>
      </c>
      <c r="X19" s="202">
        <v>20203.45</v>
      </c>
      <c r="Y19" s="4" t="s">
        <v>3</v>
      </c>
      <c r="Z19" s="4">
        <v>14</v>
      </c>
      <c r="AA19" s="202">
        <v>20228.240000000002</v>
      </c>
      <c r="AB19" s="18" t="s">
        <v>4</v>
      </c>
      <c r="AC19" s="4">
        <v>14</v>
      </c>
      <c r="AD19" s="202">
        <v>21504.84</v>
      </c>
      <c r="AE19" s="18" t="s">
        <v>5</v>
      </c>
      <c r="AF19" s="21">
        <v>14</v>
      </c>
      <c r="AG19" s="202">
        <v>22020.41</v>
      </c>
      <c r="AH19" s="18" t="s">
        <v>6</v>
      </c>
      <c r="AI19" s="21">
        <v>14</v>
      </c>
      <c r="AJ19" s="202">
        <v>23463</v>
      </c>
      <c r="AK19" s="18" t="s">
        <v>7</v>
      </c>
      <c r="AL19" s="21">
        <v>14</v>
      </c>
      <c r="AM19" s="202">
        <v>25163</v>
      </c>
      <c r="AN19" s="18" t="s">
        <v>8</v>
      </c>
      <c r="AO19" s="21">
        <v>14</v>
      </c>
      <c r="AP19" s="202">
        <v>24601.09</v>
      </c>
      <c r="AQ19" s="21" t="s">
        <v>9</v>
      </c>
      <c r="AR19" s="47">
        <v>14</v>
      </c>
      <c r="AS19" s="202">
        <v>26815.17</v>
      </c>
      <c r="AT19" s="18" t="s">
        <v>10</v>
      </c>
      <c r="AU19" s="21">
        <v>14</v>
      </c>
      <c r="AV19" s="202">
        <v>26740.32</v>
      </c>
      <c r="AW19" s="21" t="s">
        <v>11</v>
      </c>
      <c r="AX19" s="47">
        <v>14</v>
      </c>
      <c r="AY19" s="202">
        <v>29146.98</v>
      </c>
      <c r="AZ19" s="18" t="s">
        <v>12</v>
      </c>
      <c r="BA19" s="21">
        <v>14</v>
      </c>
      <c r="BB19" s="202">
        <v>27360.080000000002</v>
      </c>
      <c r="BC19" s="21" t="s">
        <v>13</v>
      </c>
      <c r="BD19" s="47">
        <v>14</v>
      </c>
      <c r="BE19" s="202">
        <v>29822.45</v>
      </c>
      <c r="BF19" s="18" t="s">
        <v>14</v>
      </c>
      <c r="BG19" s="21">
        <v>14</v>
      </c>
      <c r="BH19" s="202">
        <v>28309.54</v>
      </c>
      <c r="BI19" s="21" t="s">
        <v>15</v>
      </c>
      <c r="BJ19" s="47">
        <v>14</v>
      </c>
      <c r="BK19" s="202">
        <v>30857.43</v>
      </c>
      <c r="BL19" s="18" t="s">
        <v>16</v>
      </c>
      <c r="BM19" s="21">
        <v>14</v>
      </c>
      <c r="BN19" s="202">
        <v>28755.73</v>
      </c>
      <c r="BO19" s="21" t="s">
        <v>17</v>
      </c>
      <c r="BP19" s="47">
        <v>14</v>
      </c>
      <c r="BQ19" s="204">
        <v>31343.69</v>
      </c>
      <c r="BR19" s="18" t="s">
        <v>18</v>
      </c>
      <c r="BS19" s="21">
        <v>14</v>
      </c>
      <c r="BT19" s="202">
        <v>28755.73</v>
      </c>
      <c r="BU19" s="18" t="s">
        <v>19</v>
      </c>
      <c r="BV19" s="21">
        <v>14</v>
      </c>
      <c r="BW19" s="202">
        <v>30949.52</v>
      </c>
      <c r="BX19" s="18" t="s">
        <v>20</v>
      </c>
      <c r="BY19" s="21">
        <v>14</v>
      </c>
      <c r="BZ19" s="202">
        <v>31879.19</v>
      </c>
      <c r="CA19" s="155" t="s">
        <v>21</v>
      </c>
      <c r="CB19" s="21">
        <v>14</v>
      </c>
      <c r="CC19" s="156">
        <v>1925000</v>
      </c>
      <c r="CE19" s="2"/>
      <c r="CF19" s="2"/>
    </row>
    <row r="20" spans="2:84" x14ac:dyDescent="0.2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P20" s="18" t="s">
        <v>0</v>
      </c>
      <c r="Q20" s="4">
        <v>15</v>
      </c>
      <c r="R20" s="201">
        <v>17749.28</v>
      </c>
      <c r="S20" s="18" t="s">
        <v>1</v>
      </c>
      <c r="T20" s="4">
        <v>15</v>
      </c>
      <c r="U20" s="202">
        <v>18716.07</v>
      </c>
      <c r="V20" s="4" t="s">
        <v>2</v>
      </c>
      <c r="W20" s="4">
        <v>15</v>
      </c>
      <c r="X20" s="202">
        <v>20401.77</v>
      </c>
      <c r="Y20" s="4" t="s">
        <v>3</v>
      </c>
      <c r="Z20" s="4">
        <v>15</v>
      </c>
      <c r="AA20" s="202">
        <v>20426.560000000001</v>
      </c>
      <c r="AB20" s="18" t="s">
        <v>4</v>
      </c>
      <c r="AC20" s="4">
        <v>15</v>
      </c>
      <c r="AD20" s="202">
        <v>21752.74</v>
      </c>
      <c r="AE20" s="18" t="s">
        <v>5</v>
      </c>
      <c r="AF20" s="21">
        <v>15</v>
      </c>
      <c r="AG20" s="202">
        <v>22250.959999999999</v>
      </c>
      <c r="AH20" s="18" t="s">
        <v>6</v>
      </c>
      <c r="AI20" s="21">
        <v>15</v>
      </c>
      <c r="AJ20" s="202">
        <v>23662</v>
      </c>
      <c r="AK20" s="18" t="s">
        <v>7</v>
      </c>
      <c r="AL20" s="21">
        <v>15</v>
      </c>
      <c r="AM20" s="202">
        <v>25362</v>
      </c>
      <c r="AN20" s="18" t="s">
        <v>8</v>
      </c>
      <c r="AO20" s="21">
        <v>15</v>
      </c>
      <c r="AP20" s="202">
        <v>24888.65</v>
      </c>
      <c r="AQ20" s="21" t="s">
        <v>9</v>
      </c>
      <c r="AR20" s="47">
        <v>15</v>
      </c>
      <c r="AS20" s="202">
        <v>27128.61</v>
      </c>
      <c r="AT20" s="18" t="s">
        <v>10</v>
      </c>
      <c r="AU20" s="21">
        <v>15</v>
      </c>
      <c r="AV20" s="202">
        <v>27045.23</v>
      </c>
      <c r="AW20" s="21" t="s">
        <v>11</v>
      </c>
      <c r="AX20" s="47">
        <v>15</v>
      </c>
      <c r="AY20" s="202">
        <v>29479.34</v>
      </c>
      <c r="AZ20" s="18" t="s">
        <v>12</v>
      </c>
      <c r="BA20" s="21">
        <v>15</v>
      </c>
      <c r="BB20" s="202">
        <v>27682.35</v>
      </c>
      <c r="BC20" s="21" t="s">
        <v>13</v>
      </c>
      <c r="BD20" s="47">
        <v>15</v>
      </c>
      <c r="BE20" s="202">
        <v>30173.72</v>
      </c>
      <c r="BF20" s="18" t="s">
        <v>14</v>
      </c>
      <c r="BG20" s="21">
        <v>15</v>
      </c>
      <c r="BH20" s="202">
        <v>28656.6</v>
      </c>
      <c r="BI20" s="21" t="s">
        <v>15</v>
      </c>
      <c r="BJ20" s="47">
        <v>15</v>
      </c>
      <c r="BK20" s="202">
        <v>31235.72</v>
      </c>
      <c r="BL20" s="18" t="s">
        <v>16</v>
      </c>
      <c r="BM20" s="21">
        <v>15</v>
      </c>
      <c r="BN20" s="202">
        <v>29102.79</v>
      </c>
      <c r="BO20" s="21" t="s">
        <v>17</v>
      </c>
      <c r="BP20" s="47">
        <v>15</v>
      </c>
      <c r="BQ20" s="204">
        <v>31721.98</v>
      </c>
      <c r="BR20" s="18" t="s">
        <v>18</v>
      </c>
      <c r="BS20" s="21">
        <v>15</v>
      </c>
      <c r="BT20" s="202">
        <v>29102.79</v>
      </c>
      <c r="BU20" s="18" t="s">
        <v>19</v>
      </c>
      <c r="BV20" s="21">
        <v>15</v>
      </c>
      <c r="BW20" s="202">
        <v>31271.79</v>
      </c>
      <c r="BX20" s="18" t="s">
        <v>20</v>
      </c>
      <c r="BY20" s="21">
        <v>15</v>
      </c>
      <c r="BZ20" s="202">
        <v>32226.25</v>
      </c>
      <c r="CA20" s="155" t="s">
        <v>21</v>
      </c>
      <c r="CB20" s="21">
        <v>15</v>
      </c>
      <c r="CC20" s="156">
        <v>1940000</v>
      </c>
      <c r="CE20" s="2"/>
      <c r="CF20" s="2"/>
    </row>
    <row r="21" spans="2:84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P21" s="18" t="s">
        <v>0</v>
      </c>
      <c r="Q21" s="4">
        <v>16</v>
      </c>
      <c r="R21" s="201">
        <v>17885.63</v>
      </c>
      <c r="S21" s="18" t="s">
        <v>1</v>
      </c>
      <c r="T21" s="4">
        <v>16</v>
      </c>
      <c r="U21" s="202">
        <v>18864.810000000001</v>
      </c>
      <c r="V21" s="4" t="s">
        <v>2</v>
      </c>
      <c r="W21" s="4">
        <v>16</v>
      </c>
      <c r="X21" s="202">
        <v>20590.169999999998</v>
      </c>
      <c r="Y21" s="4" t="s">
        <v>3</v>
      </c>
      <c r="Z21" s="4">
        <v>16</v>
      </c>
      <c r="AA21" s="202">
        <v>20624.88</v>
      </c>
      <c r="AB21" s="18" t="s">
        <v>4</v>
      </c>
      <c r="AC21" s="4">
        <v>16</v>
      </c>
      <c r="AD21" s="202">
        <v>22000.639999999999</v>
      </c>
      <c r="AE21" s="18" t="s">
        <v>5</v>
      </c>
      <c r="AF21" s="21">
        <v>16</v>
      </c>
      <c r="AG21" s="202">
        <v>22481.51</v>
      </c>
      <c r="AH21" s="18" t="s">
        <v>6</v>
      </c>
      <c r="AI21" s="21">
        <v>16</v>
      </c>
      <c r="AJ21" s="202">
        <v>23862</v>
      </c>
      <c r="AK21" s="18" t="s">
        <v>7</v>
      </c>
      <c r="AL21" s="21">
        <v>16</v>
      </c>
      <c r="AM21" s="202">
        <v>25562</v>
      </c>
      <c r="AN21" s="18" t="s">
        <v>8</v>
      </c>
      <c r="AO21" s="21">
        <v>16</v>
      </c>
      <c r="AP21" s="202">
        <v>25176.21</v>
      </c>
      <c r="AQ21" s="21" t="s">
        <v>9</v>
      </c>
      <c r="AR21" s="47">
        <v>16</v>
      </c>
      <c r="AS21" s="202">
        <v>27442.05</v>
      </c>
      <c r="AT21" s="18" t="s">
        <v>10</v>
      </c>
      <c r="AU21" s="21">
        <v>16</v>
      </c>
      <c r="AV21" s="202">
        <v>27350.14</v>
      </c>
      <c r="AW21" s="21" t="s">
        <v>11</v>
      </c>
      <c r="AX21" s="47">
        <v>16</v>
      </c>
      <c r="AY21" s="202">
        <v>29811.7</v>
      </c>
      <c r="AZ21" s="18" t="s">
        <v>12</v>
      </c>
      <c r="BA21" s="21">
        <v>16</v>
      </c>
      <c r="BB21" s="202">
        <v>28004.62</v>
      </c>
      <c r="BC21" s="21" t="s">
        <v>13</v>
      </c>
      <c r="BD21" s="47">
        <v>16</v>
      </c>
      <c r="BE21" s="202">
        <v>30524.99</v>
      </c>
      <c r="BF21" s="18" t="s">
        <v>14</v>
      </c>
      <c r="BG21" s="21">
        <v>16</v>
      </c>
      <c r="BH21" s="202">
        <v>29003.66</v>
      </c>
      <c r="BI21" s="21" t="s">
        <v>15</v>
      </c>
      <c r="BJ21" s="47">
        <v>16</v>
      </c>
      <c r="BK21" s="202">
        <v>31614.01</v>
      </c>
      <c r="BL21" s="18" t="s">
        <v>16</v>
      </c>
      <c r="BM21" s="21">
        <v>16</v>
      </c>
      <c r="BN21" s="202">
        <v>29449.85</v>
      </c>
      <c r="BO21" s="21" t="s">
        <v>17</v>
      </c>
      <c r="BP21" s="47">
        <v>16</v>
      </c>
      <c r="BQ21" s="204">
        <v>32100.27</v>
      </c>
      <c r="BR21" s="18" t="s">
        <v>18</v>
      </c>
      <c r="BS21" s="21">
        <v>16</v>
      </c>
      <c r="BT21" s="202">
        <v>29449.85</v>
      </c>
      <c r="BU21" s="18" t="s">
        <v>19</v>
      </c>
      <c r="BV21" s="21">
        <v>16</v>
      </c>
      <c r="BW21" s="202">
        <v>31594.06</v>
      </c>
      <c r="BX21" s="18" t="s">
        <v>20</v>
      </c>
      <c r="BY21" s="21">
        <v>16</v>
      </c>
      <c r="BZ21" s="201">
        <v>32548.52</v>
      </c>
      <c r="CA21" s="155" t="s">
        <v>21</v>
      </c>
      <c r="CB21" s="21">
        <v>16</v>
      </c>
      <c r="CC21" s="156">
        <v>1955000</v>
      </c>
      <c r="CE21" s="2"/>
      <c r="CF21" s="2"/>
    </row>
    <row r="22" spans="2:84" x14ac:dyDescent="0.2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P22" s="18" t="s">
        <v>0</v>
      </c>
      <c r="Q22" s="4">
        <v>17</v>
      </c>
      <c r="R22" s="201">
        <v>18021.98</v>
      </c>
      <c r="S22" s="18" t="s">
        <v>1</v>
      </c>
      <c r="T22" s="4">
        <v>17</v>
      </c>
      <c r="U22" s="202">
        <v>19013.55</v>
      </c>
      <c r="V22" s="4" t="s">
        <v>2</v>
      </c>
      <c r="W22" s="4">
        <v>17</v>
      </c>
      <c r="X22" s="202">
        <v>20778.57</v>
      </c>
      <c r="Y22" s="4" t="s">
        <v>3</v>
      </c>
      <c r="Z22" s="4">
        <v>17</v>
      </c>
      <c r="AA22" s="202">
        <v>20823.2</v>
      </c>
      <c r="AB22" s="18" t="s">
        <v>4</v>
      </c>
      <c r="AC22" s="4">
        <v>17</v>
      </c>
      <c r="AD22" s="202">
        <v>22248.54</v>
      </c>
      <c r="AE22" s="18" t="s">
        <v>5</v>
      </c>
      <c r="AF22" s="21">
        <v>17</v>
      </c>
      <c r="AG22" s="202">
        <v>22712.06</v>
      </c>
      <c r="AH22" s="18" t="s">
        <v>6</v>
      </c>
      <c r="AI22" s="21">
        <v>17</v>
      </c>
      <c r="AJ22" s="202">
        <v>24062</v>
      </c>
      <c r="AK22" s="18" t="s">
        <v>7</v>
      </c>
      <c r="AL22" s="21">
        <v>17</v>
      </c>
      <c r="AM22" s="202">
        <v>25762</v>
      </c>
      <c r="AN22" s="18" t="s">
        <v>8</v>
      </c>
      <c r="AO22" s="21">
        <v>17</v>
      </c>
      <c r="AP22" s="202">
        <v>25463.77</v>
      </c>
      <c r="AQ22" s="21" t="s">
        <v>9</v>
      </c>
      <c r="AR22" s="47">
        <v>17</v>
      </c>
      <c r="AS22" s="202">
        <v>27755.49</v>
      </c>
      <c r="AT22" s="18" t="s">
        <v>10</v>
      </c>
      <c r="AU22" s="21">
        <v>17</v>
      </c>
      <c r="AV22" s="202">
        <v>27655.05</v>
      </c>
      <c r="AW22" s="21" t="s">
        <v>11</v>
      </c>
      <c r="AX22" s="47">
        <v>17</v>
      </c>
      <c r="AY22" s="202">
        <v>30144.06</v>
      </c>
      <c r="AZ22" s="18" t="s">
        <v>12</v>
      </c>
      <c r="BA22" s="21">
        <v>17</v>
      </c>
      <c r="BB22" s="202">
        <v>28326.89</v>
      </c>
      <c r="BC22" s="21" t="s">
        <v>13</v>
      </c>
      <c r="BD22" s="47">
        <v>17</v>
      </c>
      <c r="BE22" s="202">
        <v>30876.26</v>
      </c>
      <c r="BF22" s="18" t="s">
        <v>14</v>
      </c>
      <c r="BG22" s="21">
        <v>17</v>
      </c>
      <c r="BH22" s="202">
        <v>29350.720000000001</v>
      </c>
      <c r="BI22" s="21" t="s">
        <v>15</v>
      </c>
      <c r="BJ22" s="47">
        <v>17</v>
      </c>
      <c r="BK22" s="202">
        <v>31992.3</v>
      </c>
      <c r="BL22" s="18" t="s">
        <v>16</v>
      </c>
      <c r="BM22" s="21">
        <v>17</v>
      </c>
      <c r="BN22" s="202">
        <v>29796.91</v>
      </c>
      <c r="BO22" s="21" t="s">
        <v>17</v>
      </c>
      <c r="BP22" s="47">
        <v>17</v>
      </c>
      <c r="BQ22" s="204">
        <v>32478.560000000001</v>
      </c>
      <c r="BR22" s="18" t="s">
        <v>18</v>
      </c>
      <c r="BS22" s="21">
        <v>17</v>
      </c>
      <c r="BT22" s="202">
        <v>29796.91</v>
      </c>
      <c r="BU22" s="18" t="s">
        <v>19</v>
      </c>
      <c r="BV22" s="21">
        <v>17</v>
      </c>
      <c r="BW22" s="202">
        <v>31916.33</v>
      </c>
      <c r="BX22" s="18" t="s">
        <v>20</v>
      </c>
      <c r="BY22" s="21">
        <v>17</v>
      </c>
      <c r="BZ22" s="202">
        <v>32870.79</v>
      </c>
      <c r="CA22" s="155" t="s">
        <v>21</v>
      </c>
      <c r="CB22" s="21">
        <v>17</v>
      </c>
      <c r="CC22" s="156">
        <v>1970000</v>
      </c>
      <c r="CE22" s="2"/>
      <c r="CF22" s="2"/>
    </row>
    <row r="23" spans="2:84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P23" s="18" t="s">
        <v>0</v>
      </c>
      <c r="Q23" s="4">
        <v>18</v>
      </c>
      <c r="R23" s="201">
        <v>18158.330000000002</v>
      </c>
      <c r="S23" s="18" t="s">
        <v>1</v>
      </c>
      <c r="T23" s="4">
        <v>18</v>
      </c>
      <c r="U23" s="202">
        <v>19162.29</v>
      </c>
      <c r="V23" s="4" t="s">
        <v>2</v>
      </c>
      <c r="W23" s="4">
        <v>18</v>
      </c>
      <c r="X23" s="202">
        <v>20966.97</v>
      </c>
      <c r="Y23" s="4" t="s">
        <v>3</v>
      </c>
      <c r="Z23" s="4">
        <v>18</v>
      </c>
      <c r="AA23" s="202">
        <v>21021.52</v>
      </c>
      <c r="AB23" s="18" t="s">
        <v>4</v>
      </c>
      <c r="AC23" s="4">
        <v>18</v>
      </c>
      <c r="AD23" s="202">
        <v>22496.44</v>
      </c>
      <c r="AE23" s="18" t="s">
        <v>5</v>
      </c>
      <c r="AF23" s="21">
        <v>18</v>
      </c>
      <c r="AG23" s="202">
        <v>22942.61</v>
      </c>
      <c r="AH23" s="18" t="s">
        <v>6</v>
      </c>
      <c r="AI23" s="21">
        <v>18</v>
      </c>
      <c r="AJ23" s="202">
        <v>24262</v>
      </c>
      <c r="AK23" s="18" t="s">
        <v>7</v>
      </c>
      <c r="AL23" s="21">
        <v>18</v>
      </c>
      <c r="AM23" s="202">
        <v>25962</v>
      </c>
      <c r="AN23" s="18" t="s">
        <v>8</v>
      </c>
      <c r="AO23" s="21">
        <v>18</v>
      </c>
      <c r="AP23" s="202">
        <v>25751.33</v>
      </c>
      <c r="AQ23" s="21" t="s">
        <v>9</v>
      </c>
      <c r="AR23" s="47">
        <v>18</v>
      </c>
      <c r="AS23" s="202">
        <v>28068.93</v>
      </c>
      <c r="AT23" s="18" t="s">
        <v>10</v>
      </c>
      <c r="AU23" s="21">
        <v>18</v>
      </c>
      <c r="AV23" s="202">
        <v>27959.96</v>
      </c>
      <c r="AW23" s="21" t="s">
        <v>11</v>
      </c>
      <c r="AX23" s="47">
        <v>18</v>
      </c>
      <c r="AY23" s="202">
        <v>30476.42</v>
      </c>
      <c r="AZ23" s="18" t="s">
        <v>12</v>
      </c>
      <c r="BA23" s="21">
        <v>18</v>
      </c>
      <c r="BB23" s="202">
        <v>28649.16</v>
      </c>
      <c r="BC23" s="21" t="s">
        <v>13</v>
      </c>
      <c r="BD23" s="47">
        <v>18</v>
      </c>
      <c r="BE23" s="202">
        <v>31227.53</v>
      </c>
      <c r="BF23" s="18" t="s">
        <v>14</v>
      </c>
      <c r="BG23" s="21">
        <v>18</v>
      </c>
      <c r="BH23" s="202">
        <v>29697.78</v>
      </c>
      <c r="BI23" s="21" t="s">
        <v>15</v>
      </c>
      <c r="BJ23" s="47">
        <v>18</v>
      </c>
      <c r="BK23" s="202">
        <v>32370.59</v>
      </c>
      <c r="BL23" s="18" t="s">
        <v>16</v>
      </c>
      <c r="BM23" s="21">
        <v>18</v>
      </c>
      <c r="BN23" s="202">
        <v>30143.97</v>
      </c>
      <c r="BO23" s="21" t="s">
        <v>17</v>
      </c>
      <c r="BP23" s="47">
        <v>18</v>
      </c>
      <c r="BQ23" s="204">
        <v>32856.85</v>
      </c>
      <c r="BR23" s="18" t="s">
        <v>18</v>
      </c>
      <c r="BS23" s="21">
        <v>18</v>
      </c>
      <c r="BT23" s="202">
        <v>30143.97</v>
      </c>
      <c r="BU23" s="18" t="s">
        <v>19</v>
      </c>
      <c r="BV23" s="21">
        <v>18</v>
      </c>
      <c r="BW23" s="202">
        <v>32238.6</v>
      </c>
      <c r="BX23" s="18" t="s">
        <v>20</v>
      </c>
      <c r="BY23" s="21">
        <v>18</v>
      </c>
      <c r="BZ23" s="202">
        <v>33193.06</v>
      </c>
      <c r="CA23" s="155" t="s">
        <v>21</v>
      </c>
      <c r="CB23" s="21">
        <v>18</v>
      </c>
      <c r="CC23" s="156">
        <v>1985000</v>
      </c>
      <c r="CE23" s="2"/>
      <c r="CF23" s="2"/>
    </row>
    <row r="24" spans="2:84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P24" s="18" t="s">
        <v>0</v>
      </c>
      <c r="Q24" s="4">
        <v>19</v>
      </c>
      <c r="R24" s="201">
        <v>18294.68</v>
      </c>
      <c r="S24" s="18" t="s">
        <v>1</v>
      </c>
      <c r="T24" s="4">
        <v>19</v>
      </c>
      <c r="U24" s="202">
        <v>19311.03</v>
      </c>
      <c r="V24" s="4" t="s">
        <v>2</v>
      </c>
      <c r="W24" s="4">
        <v>19</v>
      </c>
      <c r="X24" s="202">
        <v>21155.37</v>
      </c>
      <c r="Y24" s="4" t="s">
        <v>3</v>
      </c>
      <c r="Z24" s="4">
        <v>19</v>
      </c>
      <c r="AA24" s="202">
        <v>21219.84</v>
      </c>
      <c r="AB24" s="18" t="s">
        <v>4</v>
      </c>
      <c r="AC24" s="4">
        <v>19</v>
      </c>
      <c r="AD24" s="202">
        <v>22744.34</v>
      </c>
      <c r="AE24" s="18" t="s">
        <v>5</v>
      </c>
      <c r="AF24" s="21">
        <v>19</v>
      </c>
      <c r="AG24" s="202">
        <v>23173.16</v>
      </c>
      <c r="AH24" s="18" t="s">
        <v>6</v>
      </c>
      <c r="AI24" s="21">
        <v>19</v>
      </c>
      <c r="AJ24" s="202">
        <v>24461</v>
      </c>
      <c r="AK24" s="18" t="s">
        <v>7</v>
      </c>
      <c r="AL24" s="21">
        <v>19</v>
      </c>
      <c r="AM24" s="202">
        <v>26161</v>
      </c>
      <c r="AN24" s="18" t="s">
        <v>8</v>
      </c>
      <c r="AO24" s="21">
        <v>19</v>
      </c>
      <c r="AP24" s="202">
        <v>26038.89</v>
      </c>
      <c r="AQ24" s="21" t="s">
        <v>9</v>
      </c>
      <c r="AR24" s="47">
        <v>19</v>
      </c>
      <c r="AS24" s="202">
        <v>28382.37</v>
      </c>
      <c r="AT24" s="18" t="s">
        <v>10</v>
      </c>
      <c r="AU24" s="21">
        <v>19</v>
      </c>
      <c r="AV24" s="202">
        <v>28264.87</v>
      </c>
      <c r="AW24" s="21" t="s">
        <v>11</v>
      </c>
      <c r="AX24" s="47">
        <v>19</v>
      </c>
      <c r="AY24" s="202">
        <v>30808.78</v>
      </c>
      <c r="AZ24" s="18" t="s">
        <v>12</v>
      </c>
      <c r="BA24" s="21">
        <v>19</v>
      </c>
      <c r="BB24" s="202">
        <v>28971.43</v>
      </c>
      <c r="BC24" s="21" t="s">
        <v>13</v>
      </c>
      <c r="BD24" s="47">
        <v>19</v>
      </c>
      <c r="BE24" s="202">
        <v>31578.799999999999</v>
      </c>
      <c r="BF24" s="18" t="s">
        <v>14</v>
      </c>
      <c r="BG24" s="21">
        <v>19</v>
      </c>
      <c r="BH24" s="202">
        <v>30044.84</v>
      </c>
      <c r="BI24" s="21" t="s">
        <v>15</v>
      </c>
      <c r="BJ24" s="47">
        <v>19</v>
      </c>
      <c r="BK24" s="202">
        <v>32748.880000000001</v>
      </c>
      <c r="BL24" s="18" t="s">
        <v>16</v>
      </c>
      <c r="BM24" s="21">
        <v>19</v>
      </c>
      <c r="BN24" s="202">
        <v>30491.03</v>
      </c>
      <c r="BO24" s="21" t="s">
        <v>17</v>
      </c>
      <c r="BP24" s="47">
        <v>19</v>
      </c>
      <c r="BQ24" s="204">
        <v>33235.14</v>
      </c>
      <c r="BR24" s="18" t="s">
        <v>18</v>
      </c>
      <c r="BS24" s="21">
        <v>19</v>
      </c>
      <c r="BT24" s="202">
        <v>30491.03</v>
      </c>
      <c r="BU24" s="18" t="s">
        <v>19</v>
      </c>
      <c r="BV24" s="21">
        <v>19</v>
      </c>
      <c r="BW24" s="202">
        <v>32560.87</v>
      </c>
      <c r="BX24" s="18" t="s">
        <v>20</v>
      </c>
      <c r="BY24" s="21">
        <v>19</v>
      </c>
      <c r="BZ24" s="202">
        <v>33515.33</v>
      </c>
      <c r="CA24" s="155" t="s">
        <v>21</v>
      </c>
      <c r="CB24" s="21">
        <v>19</v>
      </c>
      <c r="CC24" s="156">
        <v>2000000</v>
      </c>
      <c r="CE24" s="2"/>
      <c r="CF24" s="2"/>
    </row>
    <row r="25" spans="2:84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P25" s="18" t="s">
        <v>0</v>
      </c>
      <c r="Q25" s="4">
        <v>20</v>
      </c>
      <c r="R25" s="201">
        <v>18431.03</v>
      </c>
      <c r="S25" s="18" t="s">
        <v>1</v>
      </c>
      <c r="T25" s="4">
        <v>20</v>
      </c>
      <c r="U25" s="202">
        <v>19459.77</v>
      </c>
      <c r="V25" s="4" t="s">
        <v>2</v>
      </c>
      <c r="W25" s="4">
        <v>20</v>
      </c>
      <c r="X25" s="202">
        <v>21343.77</v>
      </c>
      <c r="Y25" s="4" t="s">
        <v>3</v>
      </c>
      <c r="Z25" s="4">
        <v>20</v>
      </c>
      <c r="AA25" s="202">
        <v>21418.16</v>
      </c>
      <c r="AB25" s="18" t="s">
        <v>4</v>
      </c>
      <c r="AC25" s="4">
        <v>20</v>
      </c>
      <c r="AD25" s="202">
        <v>22992.240000000002</v>
      </c>
      <c r="AE25" s="18" t="s">
        <v>5</v>
      </c>
      <c r="AF25" s="21">
        <v>20</v>
      </c>
      <c r="AG25" s="202">
        <v>23403.71</v>
      </c>
      <c r="AH25" s="18" t="s">
        <v>6</v>
      </c>
      <c r="AI25" s="21">
        <v>20</v>
      </c>
      <c r="AJ25" s="202">
        <v>24661</v>
      </c>
      <c r="AK25" s="18" t="s">
        <v>7</v>
      </c>
      <c r="AL25" s="21">
        <v>20</v>
      </c>
      <c r="AM25" s="202">
        <v>26361</v>
      </c>
      <c r="AN25" s="18" t="s">
        <v>8</v>
      </c>
      <c r="AO25" s="21">
        <v>20</v>
      </c>
      <c r="AP25" s="202">
        <v>26326.45</v>
      </c>
      <c r="AQ25" s="21" t="s">
        <v>9</v>
      </c>
      <c r="AR25" s="47">
        <v>20</v>
      </c>
      <c r="AS25" s="202">
        <v>28695.81</v>
      </c>
      <c r="AT25" s="18" t="s">
        <v>10</v>
      </c>
      <c r="AU25" s="21">
        <v>20</v>
      </c>
      <c r="AV25" s="202">
        <v>28569.78</v>
      </c>
      <c r="AW25" s="21" t="s">
        <v>11</v>
      </c>
      <c r="AX25" s="47">
        <v>20</v>
      </c>
      <c r="AY25" s="202">
        <v>31141.14</v>
      </c>
      <c r="AZ25" s="18" t="s">
        <v>12</v>
      </c>
      <c r="BA25" s="21">
        <v>20</v>
      </c>
      <c r="BB25" s="202">
        <v>29293.7</v>
      </c>
      <c r="BC25" s="21" t="s">
        <v>13</v>
      </c>
      <c r="BD25" s="47">
        <v>20</v>
      </c>
      <c r="BE25" s="202">
        <v>31930.07</v>
      </c>
      <c r="BF25" s="18" t="s">
        <v>14</v>
      </c>
      <c r="BG25" s="21">
        <v>20</v>
      </c>
      <c r="BH25" s="202">
        <v>30391.9</v>
      </c>
      <c r="BI25" s="21" t="s">
        <v>15</v>
      </c>
      <c r="BJ25" s="47">
        <v>20</v>
      </c>
      <c r="BK25" s="202">
        <v>33127.17</v>
      </c>
      <c r="BL25" s="18" t="s">
        <v>16</v>
      </c>
      <c r="BM25" s="21">
        <v>20</v>
      </c>
      <c r="BN25" s="202">
        <v>30838.09</v>
      </c>
      <c r="BO25" s="21" t="s">
        <v>17</v>
      </c>
      <c r="BP25" s="47">
        <v>20</v>
      </c>
      <c r="BQ25" s="204">
        <v>33613.43</v>
      </c>
      <c r="BR25" s="18" t="s">
        <v>18</v>
      </c>
      <c r="BS25" s="21">
        <v>20</v>
      </c>
      <c r="BT25" s="202">
        <v>30838.09</v>
      </c>
      <c r="BU25" s="18" t="s">
        <v>19</v>
      </c>
      <c r="BV25" s="21">
        <v>20</v>
      </c>
      <c r="BW25" s="202">
        <v>32883.14</v>
      </c>
      <c r="BX25" s="18" t="s">
        <v>20</v>
      </c>
      <c r="BY25" s="21">
        <v>20</v>
      </c>
      <c r="BZ25" s="202">
        <v>33837.599999999999</v>
      </c>
      <c r="CA25" s="155" t="s">
        <v>21</v>
      </c>
      <c r="CB25" s="21">
        <v>20</v>
      </c>
      <c r="CC25" s="156">
        <v>2015000</v>
      </c>
      <c r="CE25" s="2"/>
      <c r="CF25" s="2"/>
    </row>
    <row r="26" spans="2:84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18" t="s">
        <v>0</v>
      </c>
      <c r="Q26" s="4">
        <v>21</v>
      </c>
      <c r="R26" s="201">
        <v>18567.38</v>
      </c>
      <c r="S26" s="18" t="s">
        <v>1</v>
      </c>
      <c r="T26" s="4">
        <v>21</v>
      </c>
      <c r="U26" s="202">
        <v>19608.509999999998</v>
      </c>
      <c r="V26" s="4" t="s">
        <v>2</v>
      </c>
      <c r="W26" s="4">
        <v>21</v>
      </c>
      <c r="X26" s="202">
        <v>21532.17</v>
      </c>
      <c r="Y26" s="4" t="s">
        <v>3</v>
      </c>
      <c r="Z26" s="4">
        <v>21</v>
      </c>
      <c r="AA26" s="202">
        <v>21616.48</v>
      </c>
      <c r="AB26" s="18" t="s">
        <v>4</v>
      </c>
      <c r="AC26" s="4">
        <v>21</v>
      </c>
      <c r="AD26" s="202">
        <v>23153.38</v>
      </c>
      <c r="AE26" s="18" t="s">
        <v>5</v>
      </c>
      <c r="AF26" s="21">
        <v>21</v>
      </c>
      <c r="AG26" s="202">
        <v>23634.26</v>
      </c>
      <c r="AH26" s="18" t="s">
        <v>6</v>
      </c>
      <c r="AI26" s="21">
        <v>21</v>
      </c>
      <c r="AJ26" s="202">
        <v>24861</v>
      </c>
      <c r="AK26" s="18" t="s">
        <v>7</v>
      </c>
      <c r="AL26" s="21">
        <v>21</v>
      </c>
      <c r="AM26" s="202">
        <v>26561</v>
      </c>
      <c r="AN26" s="18" t="s">
        <v>8</v>
      </c>
      <c r="AO26" s="21">
        <v>21</v>
      </c>
      <c r="AP26" s="202">
        <v>26614.01</v>
      </c>
      <c r="AQ26" s="21" t="s">
        <v>9</v>
      </c>
      <c r="AR26" s="47">
        <v>21</v>
      </c>
      <c r="AS26" s="202">
        <v>29009.25</v>
      </c>
      <c r="AT26" s="18" t="s">
        <v>10</v>
      </c>
      <c r="AU26" s="21">
        <v>21</v>
      </c>
      <c r="AV26" s="202">
        <v>28874.69</v>
      </c>
      <c r="AW26" s="21" t="s">
        <v>11</v>
      </c>
      <c r="AX26" s="47">
        <v>21</v>
      </c>
      <c r="AY26" s="202">
        <v>31473.5</v>
      </c>
      <c r="AZ26" s="18" t="s">
        <v>12</v>
      </c>
      <c r="BA26" s="21">
        <v>21</v>
      </c>
      <c r="BB26" s="202">
        <v>29615.97</v>
      </c>
      <c r="BC26" s="21" t="s">
        <v>13</v>
      </c>
      <c r="BD26" s="47">
        <v>21</v>
      </c>
      <c r="BE26" s="202">
        <v>32281.34</v>
      </c>
      <c r="BF26" s="18" t="s">
        <v>14</v>
      </c>
      <c r="BG26" s="21">
        <v>21</v>
      </c>
      <c r="BH26" s="202">
        <v>30738.959999999999</v>
      </c>
      <c r="BI26" s="21" t="s">
        <v>15</v>
      </c>
      <c r="BJ26" s="47">
        <v>21</v>
      </c>
      <c r="BK26" s="202">
        <v>33505.46</v>
      </c>
      <c r="BL26" s="18" t="s">
        <v>16</v>
      </c>
      <c r="BM26" s="21">
        <v>21</v>
      </c>
      <c r="BN26" s="202">
        <v>31185.15</v>
      </c>
      <c r="BO26" s="21" t="s">
        <v>17</v>
      </c>
      <c r="BP26" s="47">
        <v>21</v>
      </c>
      <c r="BQ26" s="204">
        <v>33991.72</v>
      </c>
      <c r="BR26" s="18" t="s">
        <v>18</v>
      </c>
      <c r="BS26" s="21">
        <v>21</v>
      </c>
      <c r="BT26" s="202">
        <v>31185.15</v>
      </c>
      <c r="BU26" s="18" t="s">
        <v>19</v>
      </c>
      <c r="BV26" s="21">
        <v>21</v>
      </c>
      <c r="BW26" s="202">
        <v>33205.410000000003</v>
      </c>
      <c r="BX26" s="18" t="s">
        <v>20</v>
      </c>
      <c r="BY26" s="21">
        <v>21</v>
      </c>
      <c r="BZ26" s="202">
        <v>34159.870000000003</v>
      </c>
      <c r="CA26" s="155" t="s">
        <v>21</v>
      </c>
      <c r="CB26" s="21">
        <v>21</v>
      </c>
      <c r="CC26" s="156">
        <v>2030000</v>
      </c>
      <c r="CE26" s="2"/>
      <c r="CF26" s="2"/>
    </row>
    <row r="27" spans="2:84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18" t="s">
        <v>0</v>
      </c>
      <c r="Q27" s="4">
        <v>22</v>
      </c>
      <c r="R27" s="201">
        <v>18703.73</v>
      </c>
      <c r="S27" s="18" t="s">
        <v>1</v>
      </c>
      <c r="T27" s="4">
        <v>22</v>
      </c>
      <c r="U27" s="202">
        <v>19757.25</v>
      </c>
      <c r="V27" s="4" t="s">
        <v>2</v>
      </c>
      <c r="W27" s="4">
        <v>22</v>
      </c>
      <c r="X27" s="202">
        <v>21720.57</v>
      </c>
      <c r="Y27" s="4" t="s">
        <v>3</v>
      </c>
      <c r="Z27" s="4">
        <v>22</v>
      </c>
      <c r="AA27" s="202">
        <v>21814.799999999999</v>
      </c>
      <c r="AB27" s="18" t="s">
        <v>4</v>
      </c>
      <c r="AC27" s="4">
        <v>22</v>
      </c>
      <c r="AD27" s="202">
        <v>23314.52</v>
      </c>
      <c r="AE27" s="18" t="s">
        <v>5</v>
      </c>
      <c r="AF27" s="21">
        <v>22</v>
      </c>
      <c r="AG27" s="202">
        <v>23864.81</v>
      </c>
      <c r="AH27" s="18" t="s">
        <v>6</v>
      </c>
      <c r="AI27" s="21">
        <v>22</v>
      </c>
      <c r="AJ27" s="202">
        <v>25087</v>
      </c>
      <c r="AK27" s="18" t="s">
        <v>7</v>
      </c>
      <c r="AL27" s="21">
        <v>22</v>
      </c>
      <c r="AM27" s="202">
        <v>26761</v>
      </c>
      <c r="AN27" s="18" t="s">
        <v>8</v>
      </c>
      <c r="AO27" s="21">
        <v>22</v>
      </c>
      <c r="AP27" s="202">
        <v>26901.57</v>
      </c>
      <c r="AQ27" s="21" t="s">
        <v>9</v>
      </c>
      <c r="AR27" s="47">
        <v>22</v>
      </c>
      <c r="AS27" s="202">
        <v>29322.69</v>
      </c>
      <c r="AT27" s="18" t="s">
        <v>10</v>
      </c>
      <c r="AU27" s="21">
        <v>22</v>
      </c>
      <c r="AV27" s="202">
        <v>29179.599999999999</v>
      </c>
      <c r="AW27" s="21" t="s">
        <v>11</v>
      </c>
      <c r="AX27" s="47">
        <v>22</v>
      </c>
      <c r="AY27" s="202">
        <v>31805.86</v>
      </c>
      <c r="AZ27" s="18" t="s">
        <v>12</v>
      </c>
      <c r="BA27" s="21">
        <v>22</v>
      </c>
      <c r="BB27" s="202">
        <v>29938.240000000002</v>
      </c>
      <c r="BC27" s="21" t="s">
        <v>13</v>
      </c>
      <c r="BD27" s="47">
        <v>22</v>
      </c>
      <c r="BE27" s="202">
        <v>32632.61</v>
      </c>
      <c r="BF27" s="18" t="s">
        <v>14</v>
      </c>
      <c r="BG27" s="21">
        <v>22</v>
      </c>
      <c r="BH27" s="202">
        <v>31086.02</v>
      </c>
      <c r="BI27" s="21" t="s">
        <v>15</v>
      </c>
      <c r="BJ27" s="47">
        <v>22</v>
      </c>
      <c r="BK27" s="202">
        <v>33883.75</v>
      </c>
      <c r="BL27" s="18" t="s">
        <v>16</v>
      </c>
      <c r="BM27" s="21">
        <v>22</v>
      </c>
      <c r="BN27" s="202">
        <v>31532.21</v>
      </c>
      <c r="BO27" s="21" t="s">
        <v>17</v>
      </c>
      <c r="BP27" s="47">
        <v>22</v>
      </c>
      <c r="BQ27" s="204">
        <v>34370.01</v>
      </c>
      <c r="BR27" s="18" t="s">
        <v>18</v>
      </c>
      <c r="BS27" s="21">
        <v>22</v>
      </c>
      <c r="BT27" s="202">
        <v>31532.21</v>
      </c>
      <c r="BU27" s="18" t="s">
        <v>19</v>
      </c>
      <c r="BV27" s="21">
        <v>22</v>
      </c>
      <c r="BW27" s="202">
        <v>33527.68</v>
      </c>
      <c r="BX27" s="18" t="s">
        <v>20</v>
      </c>
      <c r="BY27" s="21">
        <v>22</v>
      </c>
      <c r="BZ27" s="202">
        <v>34482.14</v>
      </c>
      <c r="CA27" s="155" t="s">
        <v>21</v>
      </c>
      <c r="CB27" s="21">
        <v>22</v>
      </c>
      <c r="CC27" s="156">
        <v>2045000</v>
      </c>
      <c r="CE27" s="2"/>
      <c r="CF27" s="2"/>
    </row>
    <row r="28" spans="2:84" x14ac:dyDescent="0.2">
      <c r="P28" s="18" t="s">
        <v>0</v>
      </c>
      <c r="Q28" s="4">
        <v>23</v>
      </c>
      <c r="R28" s="201">
        <v>18840.080000000002</v>
      </c>
      <c r="S28" s="18" t="s">
        <v>1</v>
      </c>
      <c r="T28" s="4">
        <v>23</v>
      </c>
      <c r="U28" s="202">
        <v>19905.990000000002</v>
      </c>
      <c r="V28" s="4" t="s">
        <v>2</v>
      </c>
      <c r="W28" s="4">
        <v>23</v>
      </c>
      <c r="X28" s="202">
        <v>21908.97</v>
      </c>
      <c r="Y28" s="4" t="s">
        <v>3</v>
      </c>
      <c r="Z28" s="4">
        <v>23</v>
      </c>
      <c r="AA28" s="202">
        <v>22013.119999999999</v>
      </c>
      <c r="AB28" s="18" t="s">
        <v>4</v>
      </c>
      <c r="AC28" s="4">
        <v>23</v>
      </c>
      <c r="AD28" s="202">
        <v>23475.66</v>
      </c>
      <c r="AE28" s="18" t="s">
        <v>5</v>
      </c>
      <c r="AF28" s="21">
        <v>23</v>
      </c>
      <c r="AG28" s="202">
        <v>24095.360000000001</v>
      </c>
      <c r="AH28" s="18" t="s">
        <v>6</v>
      </c>
      <c r="AI28" s="21">
        <v>23</v>
      </c>
      <c r="AJ28" s="202">
        <v>25335</v>
      </c>
      <c r="AK28" s="18" t="s">
        <v>7</v>
      </c>
      <c r="AL28" s="21">
        <v>23</v>
      </c>
      <c r="AM28" s="202">
        <v>26960</v>
      </c>
      <c r="AN28" s="18" t="s">
        <v>8</v>
      </c>
      <c r="AO28" s="21">
        <v>23</v>
      </c>
      <c r="AP28" s="202">
        <v>27189.13</v>
      </c>
      <c r="AQ28" s="21" t="s">
        <v>9</v>
      </c>
      <c r="AR28" s="47">
        <v>23</v>
      </c>
      <c r="AS28" s="202">
        <v>29636.13</v>
      </c>
      <c r="AT28" s="18" t="s">
        <v>10</v>
      </c>
      <c r="AU28" s="21">
        <v>23</v>
      </c>
      <c r="AV28" s="202">
        <v>29484.51</v>
      </c>
      <c r="AW28" s="21" t="s">
        <v>11</v>
      </c>
      <c r="AX28" s="47">
        <v>23</v>
      </c>
      <c r="AY28" s="202">
        <v>32138.22</v>
      </c>
      <c r="AZ28" s="18" t="s">
        <v>12</v>
      </c>
      <c r="BA28" s="21">
        <v>23</v>
      </c>
      <c r="BB28" s="202">
        <v>30260.51</v>
      </c>
      <c r="BC28" s="21" t="s">
        <v>13</v>
      </c>
      <c r="BD28" s="47">
        <v>23</v>
      </c>
      <c r="BE28" s="202">
        <v>32983.879999999997</v>
      </c>
      <c r="BF28" s="18" t="s">
        <v>14</v>
      </c>
      <c r="BG28" s="21">
        <v>23</v>
      </c>
      <c r="BH28" s="202">
        <v>31433.08</v>
      </c>
      <c r="BI28" s="21" t="s">
        <v>15</v>
      </c>
      <c r="BJ28" s="47">
        <v>23</v>
      </c>
      <c r="BK28" s="202">
        <v>34262.04</v>
      </c>
      <c r="BL28" s="18" t="s">
        <v>16</v>
      </c>
      <c r="BM28" s="21">
        <v>23</v>
      </c>
      <c r="BN28" s="202">
        <v>31879.27</v>
      </c>
      <c r="BO28" s="21" t="s">
        <v>17</v>
      </c>
      <c r="BP28" s="47">
        <v>23</v>
      </c>
      <c r="BQ28" s="204">
        <v>34748.300000000003</v>
      </c>
      <c r="BR28" s="18" t="s">
        <v>18</v>
      </c>
      <c r="BS28" s="21">
        <v>23</v>
      </c>
      <c r="BT28" s="202">
        <v>31879.27</v>
      </c>
      <c r="BU28" s="18" t="s">
        <v>19</v>
      </c>
      <c r="BV28" s="21">
        <v>23</v>
      </c>
      <c r="BW28" s="202">
        <v>33849.949999999997</v>
      </c>
      <c r="BX28" s="18" t="s">
        <v>20</v>
      </c>
      <c r="BY28" s="21">
        <v>23</v>
      </c>
      <c r="BZ28" s="202">
        <v>34804.410000000003</v>
      </c>
      <c r="CA28" s="155" t="s">
        <v>21</v>
      </c>
      <c r="CB28" s="21">
        <v>23</v>
      </c>
      <c r="CC28" s="156">
        <v>2060000</v>
      </c>
      <c r="CE28" s="2"/>
      <c r="CF28" s="2"/>
    </row>
    <row r="29" spans="2:84" x14ac:dyDescent="0.2">
      <c r="P29" s="18" t="s">
        <v>0</v>
      </c>
      <c r="Q29" s="4">
        <v>24</v>
      </c>
      <c r="R29" s="201">
        <v>18964.03</v>
      </c>
      <c r="S29" s="18" t="s">
        <v>1</v>
      </c>
      <c r="T29" s="4">
        <v>24</v>
      </c>
      <c r="U29" s="202">
        <v>20054.73</v>
      </c>
      <c r="V29" s="4" t="s">
        <v>2</v>
      </c>
      <c r="W29" s="4">
        <v>24</v>
      </c>
      <c r="X29" s="202">
        <v>22097.37</v>
      </c>
      <c r="Y29" s="4" t="s">
        <v>3</v>
      </c>
      <c r="Z29" s="4">
        <v>24</v>
      </c>
      <c r="AA29" s="202">
        <v>22149.47</v>
      </c>
      <c r="AB29" s="18" t="s">
        <v>4</v>
      </c>
      <c r="AC29" s="4">
        <v>24</v>
      </c>
      <c r="AD29" s="202">
        <v>23636.799999999999</v>
      </c>
      <c r="AE29" s="18" t="s">
        <v>5</v>
      </c>
      <c r="AF29" s="21">
        <v>24</v>
      </c>
      <c r="AG29" s="202">
        <v>24325.91</v>
      </c>
      <c r="AH29" s="18" t="s">
        <v>6</v>
      </c>
      <c r="AI29" s="21">
        <v>24</v>
      </c>
      <c r="AJ29" s="202">
        <v>25558</v>
      </c>
      <c r="AK29" s="18" t="s">
        <v>7</v>
      </c>
      <c r="AL29" s="21">
        <v>24</v>
      </c>
      <c r="AM29" s="202">
        <v>27160</v>
      </c>
      <c r="AN29" s="18" t="s">
        <v>8</v>
      </c>
      <c r="AO29" s="21">
        <v>24</v>
      </c>
      <c r="AP29" s="202">
        <v>27476.69</v>
      </c>
      <c r="AQ29" s="21" t="s">
        <v>9</v>
      </c>
      <c r="AR29" s="47">
        <v>24</v>
      </c>
      <c r="AS29" s="202">
        <v>29949.57</v>
      </c>
      <c r="AT29" s="18" t="s">
        <v>10</v>
      </c>
      <c r="AU29" s="21">
        <v>24</v>
      </c>
      <c r="AV29" s="202">
        <v>29789.42</v>
      </c>
      <c r="AW29" s="21" t="s">
        <v>11</v>
      </c>
      <c r="AX29" s="47">
        <v>24</v>
      </c>
      <c r="AY29" s="202">
        <v>32470.58</v>
      </c>
      <c r="AZ29" s="18" t="s">
        <v>12</v>
      </c>
      <c r="BA29" s="21">
        <v>24</v>
      </c>
      <c r="BB29" s="202">
        <v>30582.78</v>
      </c>
      <c r="BC29" s="21" t="s">
        <v>13</v>
      </c>
      <c r="BD29" s="47">
        <v>24</v>
      </c>
      <c r="BE29" s="202">
        <v>33335.15</v>
      </c>
      <c r="BF29" s="18" t="s">
        <v>14</v>
      </c>
      <c r="BG29" s="21">
        <v>24</v>
      </c>
      <c r="BH29" s="202">
        <v>31780.14</v>
      </c>
      <c r="BI29" s="21" t="s">
        <v>15</v>
      </c>
      <c r="BJ29" s="47">
        <v>24</v>
      </c>
      <c r="BK29" s="202">
        <v>34640.33</v>
      </c>
      <c r="BL29" s="18" t="s">
        <v>16</v>
      </c>
      <c r="BM29" s="21">
        <v>24</v>
      </c>
      <c r="BN29" s="202">
        <v>32176.75</v>
      </c>
      <c r="BO29" s="21" t="s">
        <v>17</v>
      </c>
      <c r="BP29" s="47">
        <v>24</v>
      </c>
      <c r="BQ29" s="204">
        <v>35072.550000000003</v>
      </c>
      <c r="BR29" s="18" t="s">
        <v>18</v>
      </c>
      <c r="BS29" s="21">
        <v>24</v>
      </c>
      <c r="BT29" s="202">
        <v>32176.75</v>
      </c>
      <c r="BU29" s="18" t="s">
        <v>19</v>
      </c>
      <c r="BV29" s="21">
        <v>24</v>
      </c>
      <c r="BW29" s="202">
        <v>34172.22</v>
      </c>
      <c r="BX29" s="18" t="s">
        <v>20</v>
      </c>
      <c r="BY29" s="21">
        <v>24</v>
      </c>
      <c r="BZ29" s="202">
        <v>35126.68</v>
      </c>
      <c r="CA29" s="155" t="s">
        <v>21</v>
      </c>
      <c r="CB29" s="21">
        <v>24</v>
      </c>
      <c r="CC29" s="156">
        <v>2075000</v>
      </c>
      <c r="CE29" s="2"/>
      <c r="CF29" s="2"/>
    </row>
    <row r="30" spans="2:84" x14ac:dyDescent="0.2">
      <c r="P30" s="18" t="s">
        <v>0</v>
      </c>
      <c r="Q30" s="4">
        <v>25</v>
      </c>
      <c r="R30" s="201">
        <v>19087.98</v>
      </c>
      <c r="S30" s="18" t="s">
        <v>1</v>
      </c>
      <c r="T30" s="4">
        <v>25</v>
      </c>
      <c r="U30" s="202">
        <v>20203.47</v>
      </c>
      <c r="V30" s="4" t="s">
        <v>2</v>
      </c>
      <c r="W30" s="4">
        <v>25</v>
      </c>
      <c r="X30" s="202">
        <v>22285.77</v>
      </c>
      <c r="Y30" s="4" t="s">
        <v>3</v>
      </c>
      <c r="Z30" s="4">
        <v>25</v>
      </c>
      <c r="AA30" s="202">
        <v>22285.82</v>
      </c>
      <c r="AB30" s="18" t="s">
        <v>4</v>
      </c>
      <c r="AC30" s="4">
        <v>25</v>
      </c>
      <c r="AD30" s="202">
        <v>23797.94</v>
      </c>
      <c r="AE30" s="18" t="s">
        <v>5</v>
      </c>
      <c r="AF30" s="21">
        <v>25</v>
      </c>
      <c r="AG30" s="202">
        <v>24541.58</v>
      </c>
      <c r="AH30" s="18" t="s">
        <v>6</v>
      </c>
      <c r="AI30" s="21">
        <v>25</v>
      </c>
      <c r="AJ30" s="202">
        <v>25781</v>
      </c>
      <c r="AK30" s="18" t="s">
        <v>7</v>
      </c>
      <c r="AL30" s="21">
        <v>25</v>
      </c>
      <c r="AM30" s="202">
        <v>27417</v>
      </c>
      <c r="AN30" s="18" t="s">
        <v>8</v>
      </c>
      <c r="AO30" s="21">
        <v>25</v>
      </c>
      <c r="AP30" s="202">
        <v>27764.25</v>
      </c>
      <c r="AQ30" s="21" t="s">
        <v>9</v>
      </c>
      <c r="AR30" s="47">
        <v>25</v>
      </c>
      <c r="AS30" s="202">
        <v>30263.01</v>
      </c>
      <c r="AT30" s="18" t="s">
        <v>10</v>
      </c>
      <c r="AU30" s="21">
        <v>25</v>
      </c>
      <c r="AV30" s="202">
        <v>30069.54</v>
      </c>
      <c r="AW30" s="21" t="s">
        <v>11</v>
      </c>
      <c r="AX30" s="47">
        <v>25</v>
      </c>
      <c r="AY30" s="202">
        <v>32775.919999999998</v>
      </c>
      <c r="AZ30" s="18" t="s">
        <v>12</v>
      </c>
      <c r="BA30" s="21">
        <v>25</v>
      </c>
      <c r="BB30" s="202">
        <v>30888.12</v>
      </c>
      <c r="BC30" s="21" t="s">
        <v>13</v>
      </c>
      <c r="BD30" s="47">
        <v>25</v>
      </c>
      <c r="BE30" s="202">
        <v>33667.51</v>
      </c>
      <c r="BF30" s="18" t="s">
        <v>14</v>
      </c>
      <c r="BG30" s="21">
        <v>25</v>
      </c>
      <c r="BH30" s="202">
        <v>32127.200000000001</v>
      </c>
      <c r="BI30" s="21" t="s">
        <v>15</v>
      </c>
      <c r="BJ30" s="47">
        <v>25</v>
      </c>
      <c r="BK30" s="202">
        <v>35018.620000000003</v>
      </c>
      <c r="BL30" s="18" t="s">
        <v>16</v>
      </c>
      <c r="BM30" s="21">
        <v>25</v>
      </c>
      <c r="BN30" s="202">
        <v>32474.23</v>
      </c>
      <c r="BO30" s="21" t="s">
        <v>17</v>
      </c>
      <c r="BP30" s="47">
        <v>25</v>
      </c>
      <c r="BQ30" s="204">
        <v>35396.800000000003</v>
      </c>
      <c r="BR30" s="18" t="s">
        <v>18</v>
      </c>
      <c r="BS30" s="21">
        <v>25</v>
      </c>
      <c r="BT30" s="202">
        <v>32474.23</v>
      </c>
      <c r="BU30" s="18" t="s">
        <v>19</v>
      </c>
      <c r="BV30" s="21">
        <v>25</v>
      </c>
      <c r="BW30" s="202">
        <v>34457.300000000003</v>
      </c>
      <c r="BX30" s="18" t="s">
        <v>20</v>
      </c>
      <c r="BY30" s="21">
        <v>25</v>
      </c>
      <c r="BZ30" s="202">
        <v>35448.949999999997</v>
      </c>
      <c r="CA30" s="155" t="s">
        <v>21</v>
      </c>
      <c r="CB30" s="21">
        <v>25</v>
      </c>
      <c r="CC30" s="156">
        <v>2075000</v>
      </c>
      <c r="CE30" s="2"/>
      <c r="CF30" s="2"/>
    </row>
    <row r="31" spans="2:84" x14ac:dyDescent="0.2">
      <c r="P31" s="18" t="s">
        <v>0</v>
      </c>
      <c r="Q31" s="4"/>
      <c r="R31" s="201">
        <v>19087.98</v>
      </c>
      <c r="S31" s="18" t="s">
        <v>1</v>
      </c>
      <c r="T31" s="4"/>
      <c r="U31" s="202">
        <v>20203.47</v>
      </c>
      <c r="V31" s="4" t="s">
        <v>2</v>
      </c>
      <c r="W31" s="4"/>
      <c r="X31" s="202">
        <v>22285.77</v>
      </c>
      <c r="Y31" s="4" t="s">
        <v>3</v>
      </c>
      <c r="Z31" s="4"/>
      <c r="AA31" s="202">
        <v>22285.82</v>
      </c>
      <c r="AB31" s="18" t="s">
        <v>4</v>
      </c>
      <c r="AC31" s="21"/>
      <c r="AD31" s="202">
        <v>23797.94</v>
      </c>
      <c r="AE31" s="18" t="s">
        <v>5</v>
      </c>
      <c r="AF31" s="21"/>
      <c r="AG31" s="202">
        <v>24541.58</v>
      </c>
      <c r="AH31" s="18" t="s">
        <v>6</v>
      </c>
      <c r="AI31" s="21">
        <v>26</v>
      </c>
      <c r="AJ31" s="202">
        <v>25860</v>
      </c>
      <c r="AK31" s="18" t="s">
        <v>7</v>
      </c>
      <c r="AL31" s="21">
        <v>26</v>
      </c>
      <c r="AM31" s="428">
        <v>27560</v>
      </c>
      <c r="AN31" s="18" t="s">
        <v>8</v>
      </c>
      <c r="AO31" s="21"/>
      <c r="AP31" s="202">
        <v>27764.25</v>
      </c>
      <c r="AQ31" s="21" t="s">
        <v>9</v>
      </c>
      <c r="AR31" s="21"/>
      <c r="AS31" s="202">
        <v>30263.01</v>
      </c>
      <c r="AT31" s="18" t="s">
        <v>10</v>
      </c>
      <c r="AU31" s="21"/>
      <c r="AV31" s="202">
        <v>30069.54</v>
      </c>
      <c r="AW31" s="21" t="s">
        <v>11</v>
      </c>
      <c r="AX31" s="21"/>
      <c r="AY31" s="202">
        <v>32775.919999999998</v>
      </c>
      <c r="AZ31" s="18" t="s">
        <v>12</v>
      </c>
      <c r="BA31" s="21"/>
      <c r="BB31" s="202">
        <v>30888.12</v>
      </c>
      <c r="BC31" s="21" t="s">
        <v>13</v>
      </c>
      <c r="BD31" s="21"/>
      <c r="BE31" s="202">
        <v>33667.51</v>
      </c>
      <c r="BF31" s="18" t="s">
        <v>14</v>
      </c>
      <c r="BG31" s="21"/>
      <c r="BH31" s="202">
        <v>32127.200000000001</v>
      </c>
      <c r="BI31" s="21" t="s">
        <v>15</v>
      </c>
      <c r="BJ31" s="21"/>
      <c r="BK31" s="202">
        <v>35018.620000000003</v>
      </c>
      <c r="BL31" s="18" t="s">
        <v>16</v>
      </c>
      <c r="BM31" s="21"/>
      <c r="BN31" s="202">
        <v>32474.23</v>
      </c>
      <c r="BO31" s="21" t="s">
        <v>17</v>
      </c>
      <c r="BP31" s="47"/>
      <c r="BQ31" s="204">
        <v>35396.800000000003</v>
      </c>
      <c r="BR31" s="18" t="s">
        <v>18</v>
      </c>
      <c r="BS31" s="46"/>
      <c r="BT31" s="202">
        <v>32474.23</v>
      </c>
      <c r="BU31" s="18" t="s">
        <v>19</v>
      </c>
      <c r="BV31" s="46"/>
      <c r="BW31" s="202">
        <v>34457.300000000003</v>
      </c>
      <c r="BX31" s="18" t="s">
        <v>20</v>
      </c>
      <c r="BY31" s="46"/>
      <c r="BZ31" s="202">
        <v>35448.949999999997</v>
      </c>
      <c r="CA31" s="155" t="s">
        <v>21</v>
      </c>
      <c r="CB31" s="21">
        <v>26</v>
      </c>
      <c r="CC31" s="156">
        <v>2075000</v>
      </c>
      <c r="CE31" s="2"/>
      <c r="CF31" s="2"/>
    </row>
    <row r="32" spans="2:84" x14ac:dyDescent="0.2">
      <c r="P32" s="18"/>
      <c r="Q32" s="4"/>
      <c r="R32" s="201"/>
      <c r="S32" s="18"/>
      <c r="T32" s="4"/>
      <c r="U32" s="202"/>
      <c r="V32" s="4"/>
      <c r="W32" s="4"/>
      <c r="X32" s="202"/>
      <c r="Y32" s="4"/>
      <c r="Z32" s="4"/>
      <c r="AA32" s="202"/>
      <c r="AB32" s="18"/>
      <c r="AC32" s="21"/>
      <c r="AD32" s="202"/>
      <c r="AE32" s="18"/>
      <c r="AF32" s="21"/>
      <c r="AG32" s="202"/>
      <c r="AH32" s="18" t="s">
        <v>6</v>
      </c>
      <c r="AI32" s="21">
        <v>27</v>
      </c>
      <c r="AJ32" s="202">
        <v>26059</v>
      </c>
      <c r="AK32" s="18" t="s">
        <v>7</v>
      </c>
      <c r="AL32" s="21">
        <v>27</v>
      </c>
      <c r="AM32" s="428">
        <v>27759</v>
      </c>
      <c r="AN32" s="18"/>
      <c r="AO32" s="21"/>
      <c r="AP32" s="202"/>
      <c r="AQ32" s="21"/>
      <c r="AR32" s="21"/>
      <c r="AS32" s="204"/>
      <c r="AT32" s="18"/>
      <c r="AU32" s="21"/>
      <c r="AV32" s="202"/>
      <c r="AW32" s="21"/>
      <c r="AX32" s="21"/>
      <c r="AY32" s="204"/>
      <c r="AZ32" s="18"/>
      <c r="BA32" s="21"/>
      <c r="BB32" s="202"/>
      <c r="BC32" s="21"/>
      <c r="BD32" s="21"/>
      <c r="BE32" s="204"/>
      <c r="BF32" s="18"/>
      <c r="BG32" s="21"/>
      <c r="BH32" s="202"/>
      <c r="BI32" s="21"/>
      <c r="BJ32" s="21"/>
      <c r="BK32" s="204"/>
      <c r="BL32" s="18"/>
      <c r="BM32" s="21"/>
      <c r="BN32" s="202"/>
      <c r="BO32" s="21"/>
      <c r="BP32" s="47"/>
      <c r="BQ32" s="204"/>
      <c r="BR32" s="18"/>
      <c r="BS32" s="46"/>
      <c r="BT32" s="202"/>
      <c r="BU32" s="18"/>
      <c r="BV32" s="46"/>
      <c r="BW32" s="202"/>
      <c r="BX32" s="18"/>
      <c r="BY32" s="46"/>
      <c r="BZ32" s="202"/>
      <c r="CA32" s="155"/>
      <c r="CB32" s="21"/>
      <c r="CC32" s="156"/>
      <c r="CE32" s="2"/>
      <c r="CF32" s="2"/>
    </row>
    <row r="33" spans="16:84" x14ac:dyDescent="0.2">
      <c r="P33" s="18"/>
      <c r="Q33" s="4"/>
      <c r="R33" s="201"/>
      <c r="S33" s="18"/>
      <c r="T33" s="4"/>
      <c r="U33" s="202"/>
      <c r="V33" s="4"/>
      <c r="W33" s="4"/>
      <c r="X33" s="202"/>
      <c r="Y33" s="4"/>
      <c r="Z33" s="4"/>
      <c r="AA33" s="202"/>
      <c r="AB33" s="18"/>
      <c r="AC33" s="21"/>
      <c r="AD33" s="202"/>
      <c r="AE33" s="18"/>
      <c r="AF33" s="21"/>
      <c r="AG33" s="202"/>
      <c r="AH33" s="18" t="s">
        <v>6</v>
      </c>
      <c r="AI33" s="21">
        <v>28</v>
      </c>
      <c r="AJ33" s="202">
        <v>26259</v>
      </c>
      <c r="AK33" s="18" t="s">
        <v>7</v>
      </c>
      <c r="AL33" s="21">
        <v>28</v>
      </c>
      <c r="AM33" s="428">
        <v>27959</v>
      </c>
      <c r="AN33" s="18"/>
      <c r="AO33" s="21"/>
      <c r="AP33" s="202"/>
      <c r="AQ33" s="21"/>
      <c r="AR33" s="21"/>
      <c r="AS33" s="204"/>
      <c r="AT33" s="18"/>
      <c r="AU33" s="21"/>
      <c r="AV33" s="202"/>
      <c r="AW33" s="21"/>
      <c r="AX33" s="21"/>
      <c r="AY33" s="204"/>
      <c r="AZ33" s="18"/>
      <c r="BA33" s="21"/>
      <c r="BB33" s="202"/>
      <c r="BC33" s="21"/>
      <c r="BD33" s="21"/>
      <c r="BE33" s="204"/>
      <c r="BF33" s="18"/>
      <c r="BG33" s="21"/>
      <c r="BH33" s="202"/>
      <c r="BI33" s="21"/>
      <c r="BJ33" s="21"/>
      <c r="BK33" s="204"/>
      <c r="BL33" s="18"/>
      <c r="BM33" s="21"/>
      <c r="BN33" s="202"/>
      <c r="BO33" s="21"/>
      <c r="BP33" s="47"/>
      <c r="BQ33" s="204"/>
      <c r="BR33" s="18"/>
      <c r="BS33" s="46"/>
      <c r="BT33" s="202"/>
      <c r="BU33" s="18"/>
      <c r="BV33" s="46"/>
      <c r="BW33" s="202"/>
      <c r="BX33" s="18"/>
      <c r="BY33" s="46"/>
      <c r="BZ33" s="202"/>
      <c r="CA33" s="155"/>
      <c r="CB33" s="21"/>
      <c r="CC33" s="156"/>
      <c r="CE33" s="2"/>
      <c r="CF33" s="2"/>
    </row>
    <row r="34" spans="16:84" x14ac:dyDescent="0.2">
      <c r="P34" s="18"/>
      <c r="Q34" s="4"/>
      <c r="R34" s="4"/>
      <c r="S34" s="18"/>
      <c r="T34" s="4"/>
      <c r="U34" s="125"/>
      <c r="V34" s="4"/>
      <c r="W34" s="4"/>
      <c r="X34" s="125"/>
      <c r="Y34" s="4"/>
      <c r="Z34" s="4"/>
      <c r="AA34" s="125"/>
      <c r="AB34" s="18"/>
      <c r="AC34" s="21"/>
      <c r="AD34" s="125"/>
      <c r="AE34" s="18"/>
      <c r="AF34" s="21"/>
      <c r="AG34" s="125"/>
      <c r="AH34" s="18" t="s">
        <v>6</v>
      </c>
      <c r="AI34" s="21">
        <v>29</v>
      </c>
      <c r="AJ34" s="202">
        <v>26459</v>
      </c>
      <c r="AK34" s="21" t="s">
        <v>7</v>
      </c>
      <c r="AL34" s="21">
        <v>29</v>
      </c>
      <c r="AM34" s="428">
        <v>28159</v>
      </c>
      <c r="AN34" s="21"/>
      <c r="AO34" s="21"/>
      <c r="AP34" s="125"/>
      <c r="AQ34" s="21"/>
      <c r="AR34" s="21"/>
      <c r="AS34" s="21"/>
      <c r="AT34" s="18"/>
      <c r="AU34" s="21"/>
      <c r="AV34" s="125"/>
      <c r="AW34" s="21"/>
      <c r="AX34" s="21"/>
      <c r="AY34" s="21"/>
      <c r="AZ34" s="18"/>
      <c r="BA34" s="21"/>
      <c r="BB34" s="125"/>
      <c r="BC34" s="21"/>
      <c r="BD34" s="21"/>
      <c r="BE34" s="21"/>
      <c r="BF34" s="18"/>
      <c r="BG34" s="21"/>
      <c r="BH34" s="125"/>
      <c r="BI34" s="21"/>
      <c r="BJ34" s="21"/>
      <c r="BK34" s="21"/>
      <c r="BL34" s="18"/>
      <c r="BM34" s="21"/>
      <c r="BN34" s="125"/>
      <c r="BO34" s="21"/>
      <c r="BP34" s="47"/>
      <c r="BQ34" s="21"/>
      <c r="BR34" s="45"/>
      <c r="BS34" s="46"/>
      <c r="BT34" s="48"/>
      <c r="BU34" s="45"/>
      <c r="BV34" s="46"/>
      <c r="BW34" s="48"/>
      <c r="BX34" s="45"/>
      <c r="BY34" s="46"/>
      <c r="BZ34" s="48"/>
      <c r="CA34" s="155" t="s">
        <v>21</v>
      </c>
      <c r="CB34" s="21">
        <v>27</v>
      </c>
      <c r="CC34" s="156">
        <v>2075000</v>
      </c>
      <c r="CE34" s="2"/>
      <c r="CF34" s="2"/>
    </row>
    <row r="35" spans="16:84" x14ac:dyDescent="0.2">
      <c r="P35" s="19"/>
      <c r="Q35" s="20"/>
      <c r="R35" s="20"/>
      <c r="S35" s="19"/>
      <c r="T35" s="20"/>
      <c r="U35" s="119"/>
      <c r="V35" s="19"/>
      <c r="W35" s="20"/>
      <c r="X35" s="119"/>
      <c r="Y35" s="20"/>
      <c r="Z35" s="20"/>
      <c r="AA35" s="119"/>
      <c r="AB35" s="19"/>
      <c r="AC35" s="20"/>
      <c r="AD35" s="119"/>
      <c r="AE35" s="19"/>
      <c r="AF35" s="20"/>
      <c r="AG35" s="119"/>
      <c r="AH35" s="19"/>
      <c r="AI35" s="20"/>
      <c r="AJ35" s="119"/>
      <c r="AK35" s="19"/>
      <c r="AL35" s="20"/>
      <c r="AM35" s="119"/>
      <c r="AN35" s="19"/>
      <c r="AO35" s="20"/>
      <c r="AP35" s="119"/>
      <c r="AQ35" s="20"/>
      <c r="AR35" s="20"/>
      <c r="AS35" s="20"/>
      <c r="AT35" s="19"/>
      <c r="AU35" s="20"/>
      <c r="AV35" s="119"/>
      <c r="AW35" s="20"/>
      <c r="AX35" s="20"/>
      <c r="AY35" s="20"/>
      <c r="AZ35" s="19"/>
      <c r="BA35" s="20"/>
      <c r="BB35" s="119"/>
      <c r="BC35" s="20"/>
      <c r="BD35" s="20"/>
      <c r="BE35" s="20"/>
      <c r="BF35" s="19"/>
      <c r="BG35" s="20"/>
      <c r="BH35" s="119"/>
      <c r="BI35" s="20"/>
      <c r="BJ35" s="20"/>
      <c r="BK35" s="20"/>
      <c r="BL35" s="19"/>
      <c r="BM35" s="20"/>
      <c r="BN35" s="119"/>
      <c r="BO35" s="20"/>
      <c r="BP35" s="99"/>
      <c r="BQ35" s="20"/>
      <c r="BR35" s="53"/>
      <c r="BS35" s="54"/>
      <c r="BT35" s="55"/>
      <c r="BU35" s="53"/>
      <c r="BV35" s="54"/>
      <c r="BW35" s="55"/>
      <c r="BX35" s="53"/>
      <c r="BY35" s="54"/>
      <c r="BZ35" s="54"/>
      <c r="CA35" s="155" t="s">
        <v>21</v>
      </c>
      <c r="CB35" s="21">
        <v>28</v>
      </c>
      <c r="CC35" s="156">
        <v>2075000</v>
      </c>
      <c r="CE35" s="2"/>
      <c r="CF35" s="2"/>
    </row>
    <row r="36" spans="16:84" x14ac:dyDescent="0.2"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6"/>
      <c r="AO36" s="451"/>
      <c r="AP36" s="457"/>
      <c r="AQ36" s="460"/>
      <c r="AR36" s="461"/>
      <c r="AS36" s="462"/>
      <c r="AT36" s="460"/>
      <c r="AU36" s="461"/>
      <c r="AV36" s="462"/>
      <c r="AW36" s="460"/>
      <c r="AX36" s="461"/>
      <c r="AY36" s="462"/>
      <c r="AZ36" s="460"/>
      <c r="BA36" s="461"/>
      <c r="BB36" s="462"/>
      <c r="BC36" s="460"/>
      <c r="BD36" s="461"/>
      <c r="BE36" s="462"/>
      <c r="BF36" s="460"/>
      <c r="BG36" s="461"/>
      <c r="BH36" s="462"/>
      <c r="BI36" s="522" t="s">
        <v>14</v>
      </c>
      <c r="BJ36" s="520"/>
      <c r="BK36" s="521"/>
      <c r="BL36" s="522" t="s">
        <v>16</v>
      </c>
      <c r="BM36" s="520" t="s">
        <v>14</v>
      </c>
      <c r="BN36" s="521"/>
      <c r="BP36" s="2"/>
      <c r="BU36" s="155" t="s">
        <v>21</v>
      </c>
      <c r="BV36" s="4">
        <v>29</v>
      </c>
      <c r="BW36" s="156">
        <v>2075000</v>
      </c>
      <c r="CA36"/>
      <c r="CB36"/>
      <c r="CC36"/>
      <c r="CD36"/>
    </row>
    <row r="37" spans="16:84" x14ac:dyDescent="0.2">
      <c r="P37" s="460"/>
      <c r="Q37" s="461" t="s">
        <v>22</v>
      </c>
      <c r="R37" s="462"/>
      <c r="S37" s="461"/>
      <c r="T37" s="461" t="s">
        <v>23</v>
      </c>
      <c r="U37" s="461"/>
      <c r="V37" s="460"/>
      <c r="W37" s="461" t="s">
        <v>24</v>
      </c>
      <c r="X37" s="462"/>
      <c r="Y37" s="460"/>
      <c r="Z37" s="461" t="s">
        <v>25</v>
      </c>
      <c r="AA37" s="462"/>
      <c r="AB37" s="460"/>
      <c r="AC37" s="461" t="s">
        <v>26</v>
      </c>
      <c r="AD37" s="462"/>
      <c r="AE37" s="460"/>
      <c r="AF37" s="461" t="s">
        <v>27</v>
      </c>
      <c r="AG37" s="462"/>
      <c r="AH37" s="460"/>
      <c r="AI37" s="461" t="s">
        <v>28</v>
      </c>
      <c r="AJ37" s="461"/>
      <c r="AK37" s="460"/>
      <c r="AL37" s="461" t="s">
        <v>29</v>
      </c>
      <c r="AM37" s="462"/>
      <c r="AN37" s="460"/>
      <c r="AO37" s="461" t="s">
        <v>30</v>
      </c>
      <c r="AP37" s="462"/>
      <c r="AQ37" s="458"/>
      <c r="AR37" s="452" t="s">
        <v>31</v>
      </c>
      <c r="AS37" s="459"/>
      <c r="AT37" s="458"/>
      <c r="AU37" s="452" t="s">
        <v>32</v>
      </c>
      <c r="AV37" s="459"/>
      <c r="AW37" s="458"/>
      <c r="AX37" s="452" t="s">
        <v>33</v>
      </c>
      <c r="AY37" s="459"/>
      <c r="AZ37" s="458"/>
      <c r="BA37" s="452" t="s">
        <v>34</v>
      </c>
      <c r="BB37" s="459"/>
      <c r="BC37" s="458"/>
      <c r="BD37" s="452" t="s">
        <v>35</v>
      </c>
      <c r="BE37" s="459"/>
      <c r="BF37" s="458"/>
      <c r="BG37" s="452" t="s">
        <v>36</v>
      </c>
      <c r="BH37" s="459"/>
      <c r="BI37" s="519" t="s">
        <v>709</v>
      </c>
      <c r="BJ37" s="520"/>
      <c r="BK37" s="521"/>
      <c r="BL37" s="523" t="s">
        <v>713</v>
      </c>
      <c r="BM37" s="520" t="s">
        <v>14</v>
      </c>
      <c r="BN37" s="521"/>
      <c r="BP37" s="2"/>
      <c r="BU37" s="155" t="s">
        <v>21</v>
      </c>
      <c r="BV37" s="21">
        <v>30</v>
      </c>
      <c r="BW37" s="156">
        <v>2075000</v>
      </c>
      <c r="CA37"/>
      <c r="CB37"/>
      <c r="CC37"/>
      <c r="CD37"/>
    </row>
    <row r="38" spans="16:84" x14ac:dyDescent="0.2">
      <c r="P38" s="45"/>
      <c r="Q38" s="46"/>
      <c r="R38" s="48"/>
      <c r="S38" s="46"/>
      <c r="T38" s="46"/>
      <c r="U38" s="46"/>
      <c r="V38" s="45"/>
      <c r="W38" s="46"/>
      <c r="X38" s="48"/>
      <c r="Y38" s="45"/>
      <c r="Z38" s="46"/>
      <c r="AA38" s="48"/>
      <c r="AB38" s="45"/>
      <c r="AC38" s="46"/>
      <c r="AD38" s="48"/>
      <c r="AE38" s="45"/>
      <c r="AF38" s="46"/>
      <c r="AG38" s="48"/>
      <c r="AH38" s="4"/>
      <c r="AI38" s="4"/>
      <c r="AJ38" s="4"/>
      <c r="AK38" s="18"/>
      <c r="AL38" s="4"/>
      <c r="AM38" s="4"/>
      <c r="AN38" s="18"/>
      <c r="AO38" s="21"/>
      <c r="AP38" s="125"/>
      <c r="AQ38" s="45"/>
      <c r="AR38" s="46"/>
      <c r="AS38" s="48"/>
      <c r="AT38" s="45"/>
      <c r="AU38" s="46"/>
      <c r="AV38" s="48"/>
      <c r="AW38" s="45"/>
      <c r="AX38" s="46"/>
      <c r="AY38" s="48"/>
      <c r="AZ38" s="45"/>
      <c r="BA38" s="46"/>
      <c r="BB38" s="48"/>
      <c r="BC38" s="45"/>
      <c r="BD38" s="46"/>
      <c r="BE38" s="48"/>
      <c r="BF38" s="45"/>
      <c r="BG38" s="46"/>
      <c r="BH38" s="48"/>
      <c r="BI38" s="4"/>
      <c r="BJ38" s="39"/>
      <c r="BK38" s="121"/>
      <c r="BN38" s="124"/>
      <c r="BP38" s="2"/>
      <c r="BU38" s="155" t="s">
        <v>21</v>
      </c>
      <c r="BV38" s="46"/>
      <c r="BW38" s="156">
        <v>2075000</v>
      </c>
      <c r="CA38"/>
      <c r="CB38"/>
      <c r="CC38"/>
      <c r="CD38"/>
    </row>
    <row r="39" spans="16:84" x14ac:dyDescent="0.2">
      <c r="P39" s="18" t="s">
        <v>22</v>
      </c>
      <c r="Q39" s="21">
        <v>0</v>
      </c>
      <c r="R39" s="202">
        <v>21070.95</v>
      </c>
      <c r="S39" s="204" t="s">
        <v>23</v>
      </c>
      <c r="T39" s="21">
        <v>0</v>
      </c>
      <c r="U39" s="204">
        <v>23797.78</v>
      </c>
      <c r="V39" s="18" t="s">
        <v>24</v>
      </c>
      <c r="W39" s="21">
        <v>0</v>
      </c>
      <c r="X39" s="202">
        <v>24789.360000000001</v>
      </c>
      <c r="Y39" s="18" t="s">
        <v>25</v>
      </c>
      <c r="Z39" s="21">
        <v>0</v>
      </c>
      <c r="AA39" s="202">
        <v>27516.19</v>
      </c>
      <c r="AB39" s="18" t="s">
        <v>26</v>
      </c>
      <c r="AC39" s="21">
        <v>0</v>
      </c>
      <c r="AD39" s="202">
        <v>33961.42</v>
      </c>
      <c r="AE39" s="18" t="s">
        <v>27</v>
      </c>
      <c r="AF39" s="21">
        <v>0</v>
      </c>
      <c r="AG39" s="202">
        <v>35324.83</v>
      </c>
      <c r="AH39" s="4" t="s">
        <v>28</v>
      </c>
      <c r="AI39" s="21">
        <v>0</v>
      </c>
      <c r="AJ39" s="201">
        <v>37431.93</v>
      </c>
      <c r="AK39" s="18" t="s">
        <v>29</v>
      </c>
      <c r="AL39" s="21">
        <v>0</v>
      </c>
      <c r="AM39" s="201">
        <v>41398.22</v>
      </c>
      <c r="AN39" s="205" t="s">
        <v>30</v>
      </c>
      <c r="AO39" s="21">
        <v>0</v>
      </c>
      <c r="AP39" s="206">
        <v>32583.13</v>
      </c>
      <c r="AQ39" s="18" t="s">
        <v>31</v>
      </c>
      <c r="AR39" s="21">
        <v>0</v>
      </c>
      <c r="AS39" s="202">
        <v>26653.52</v>
      </c>
      <c r="AT39" s="18" t="s">
        <v>32</v>
      </c>
      <c r="AU39" s="21">
        <v>0</v>
      </c>
      <c r="AV39" s="202">
        <v>27764.080000000002</v>
      </c>
      <c r="AW39" s="18" t="s">
        <v>33</v>
      </c>
      <c r="AX39" s="21">
        <v>0</v>
      </c>
      <c r="AY39" s="202">
        <v>29167.16</v>
      </c>
      <c r="AZ39" s="18" t="s">
        <v>34</v>
      </c>
      <c r="BA39" s="21">
        <v>0</v>
      </c>
      <c r="BB39" s="202">
        <v>35999.1</v>
      </c>
      <c r="BC39" s="18" t="s">
        <v>35</v>
      </c>
      <c r="BD39" s="21">
        <v>0</v>
      </c>
      <c r="BE39" s="202">
        <v>36031.33</v>
      </c>
      <c r="BF39" s="18" t="s">
        <v>36</v>
      </c>
      <c r="BG39" s="21">
        <v>0</v>
      </c>
      <c r="BH39" s="202">
        <v>30738.799999999999</v>
      </c>
      <c r="BI39" s="18" t="s">
        <v>14</v>
      </c>
      <c r="BJ39" s="21">
        <v>0</v>
      </c>
      <c r="BK39" s="202">
        <v>19583.59</v>
      </c>
      <c r="BL39" s="18" t="s">
        <v>16</v>
      </c>
      <c r="BM39" s="4">
        <v>0</v>
      </c>
      <c r="BN39" s="202">
        <v>26296</v>
      </c>
      <c r="BP39" s="2"/>
      <c r="BU39" s="53"/>
      <c r="BV39" s="54"/>
      <c r="BW39" s="55"/>
      <c r="CA39"/>
      <c r="CB39"/>
      <c r="CC39"/>
      <c r="CD39"/>
    </row>
    <row r="40" spans="16:84" x14ac:dyDescent="0.2">
      <c r="P40" s="18" t="s">
        <v>22</v>
      </c>
      <c r="Q40" s="21">
        <v>1</v>
      </c>
      <c r="R40" s="202">
        <v>21507.25</v>
      </c>
      <c r="S40" s="204" t="s">
        <v>23</v>
      </c>
      <c r="T40" s="21">
        <v>1</v>
      </c>
      <c r="U40" s="204">
        <v>24392.73</v>
      </c>
      <c r="V40" s="18" t="s">
        <v>24</v>
      </c>
      <c r="W40" s="21">
        <v>1</v>
      </c>
      <c r="X40" s="202">
        <v>25632.2</v>
      </c>
      <c r="Y40" s="18" t="s">
        <v>25</v>
      </c>
      <c r="Z40" s="21">
        <v>1</v>
      </c>
      <c r="AA40" s="202">
        <v>28433.4</v>
      </c>
      <c r="AB40" s="18" t="s">
        <v>26</v>
      </c>
      <c r="AC40" s="21">
        <v>1</v>
      </c>
      <c r="AD40" s="202">
        <v>34953</v>
      </c>
      <c r="AE40" s="18" t="s">
        <v>27</v>
      </c>
      <c r="AF40" s="21">
        <v>1</v>
      </c>
      <c r="AG40" s="202">
        <v>36341.199999999997</v>
      </c>
      <c r="AH40" s="4" t="s">
        <v>28</v>
      </c>
      <c r="AI40" s="21">
        <v>1</v>
      </c>
      <c r="AJ40" s="201">
        <v>37431.93</v>
      </c>
      <c r="AK40" s="18" t="s">
        <v>29</v>
      </c>
      <c r="AL40" s="21">
        <v>1</v>
      </c>
      <c r="AM40" s="201">
        <v>41398.22</v>
      </c>
      <c r="AN40" s="205" t="s">
        <v>30</v>
      </c>
      <c r="AO40" s="21">
        <v>1</v>
      </c>
      <c r="AP40" s="206">
        <v>33607.93</v>
      </c>
      <c r="AQ40" s="18" t="s">
        <v>31</v>
      </c>
      <c r="AR40" s="21">
        <v>1</v>
      </c>
      <c r="AS40" s="202">
        <v>27319.86</v>
      </c>
      <c r="AT40" s="18" t="s">
        <v>32</v>
      </c>
      <c r="AU40" s="21">
        <v>1</v>
      </c>
      <c r="AV40" s="202">
        <v>28708.06</v>
      </c>
      <c r="AW40" s="18" t="s">
        <v>33</v>
      </c>
      <c r="AX40" s="21">
        <v>1</v>
      </c>
      <c r="AY40" s="202">
        <v>30139.4</v>
      </c>
      <c r="AZ40" s="18" t="s">
        <v>34</v>
      </c>
      <c r="BA40" s="21">
        <v>1</v>
      </c>
      <c r="BB40" s="202">
        <v>37050.17</v>
      </c>
      <c r="BC40" s="18" t="s">
        <v>35</v>
      </c>
      <c r="BD40" s="21">
        <v>1</v>
      </c>
      <c r="BE40" s="202">
        <v>37068.03</v>
      </c>
      <c r="BF40" s="18" t="s">
        <v>36</v>
      </c>
      <c r="BG40" s="21">
        <v>1</v>
      </c>
      <c r="BH40" s="202">
        <v>31705.59</v>
      </c>
      <c r="BI40" s="18" t="s">
        <v>14</v>
      </c>
      <c r="BJ40" s="21">
        <v>1</v>
      </c>
      <c r="BK40" s="202">
        <v>20228.12</v>
      </c>
      <c r="BL40" s="18" t="s">
        <v>16</v>
      </c>
      <c r="BM40" s="4">
        <v>1</v>
      </c>
      <c r="BN40" s="202">
        <v>26566</v>
      </c>
      <c r="BP40" s="2"/>
      <c r="CA40"/>
      <c r="CB40"/>
      <c r="CC40"/>
      <c r="CD40"/>
    </row>
    <row r="41" spans="16:84" x14ac:dyDescent="0.2">
      <c r="P41" s="18" t="s">
        <v>22</v>
      </c>
      <c r="Q41" s="21">
        <v>2</v>
      </c>
      <c r="R41" s="202">
        <v>21943.55</v>
      </c>
      <c r="S41" s="204" t="s">
        <v>23</v>
      </c>
      <c r="T41" s="21">
        <v>2</v>
      </c>
      <c r="U41" s="204">
        <v>24987.68</v>
      </c>
      <c r="V41" s="18" t="s">
        <v>24</v>
      </c>
      <c r="W41" s="21">
        <v>2</v>
      </c>
      <c r="X41" s="202">
        <v>26475.040000000001</v>
      </c>
      <c r="Y41" s="18" t="s">
        <v>25</v>
      </c>
      <c r="Z41" s="21">
        <v>2</v>
      </c>
      <c r="AA41" s="202">
        <v>29350.61</v>
      </c>
      <c r="AB41" s="18" t="s">
        <v>26</v>
      </c>
      <c r="AC41" s="21">
        <v>2</v>
      </c>
      <c r="AD41" s="202">
        <v>35895</v>
      </c>
      <c r="AE41" s="18" t="s">
        <v>27</v>
      </c>
      <c r="AF41" s="21">
        <v>2</v>
      </c>
      <c r="AG41" s="202">
        <v>37307.99</v>
      </c>
      <c r="AH41" s="4" t="s">
        <v>28</v>
      </c>
      <c r="AI41" s="21">
        <v>2</v>
      </c>
      <c r="AJ41" s="201">
        <v>38919.300000000003</v>
      </c>
      <c r="AK41" s="18" t="s">
        <v>29</v>
      </c>
      <c r="AL41" s="21">
        <v>2</v>
      </c>
      <c r="AM41" s="201">
        <v>43009.53</v>
      </c>
      <c r="AN41" s="205" t="s">
        <v>30</v>
      </c>
      <c r="AO41" s="21">
        <v>2</v>
      </c>
      <c r="AP41" s="206">
        <v>34632.730000000003</v>
      </c>
      <c r="AQ41" s="18" t="s">
        <v>31</v>
      </c>
      <c r="AR41" s="21">
        <v>2</v>
      </c>
      <c r="AS41" s="202">
        <v>27986.2</v>
      </c>
      <c r="AT41" s="18" t="s">
        <v>32</v>
      </c>
      <c r="AU41" s="21">
        <v>2</v>
      </c>
      <c r="AV41" s="202">
        <v>29652.04</v>
      </c>
      <c r="AW41" s="18" t="s">
        <v>33</v>
      </c>
      <c r="AX41" s="21">
        <v>2</v>
      </c>
      <c r="AY41" s="202">
        <v>31111.64</v>
      </c>
      <c r="AZ41" s="18" t="s">
        <v>34</v>
      </c>
      <c r="BA41" s="21">
        <v>2</v>
      </c>
      <c r="BB41" s="202">
        <v>38048.69</v>
      </c>
      <c r="BC41" s="18" t="s">
        <v>35</v>
      </c>
      <c r="BD41" s="21">
        <v>2</v>
      </c>
      <c r="BE41" s="202">
        <v>38054.160000000003</v>
      </c>
      <c r="BF41" s="18" t="s">
        <v>36</v>
      </c>
      <c r="BG41" s="21">
        <v>2</v>
      </c>
      <c r="BH41" s="202">
        <v>32672.38</v>
      </c>
      <c r="BI41" s="18" t="s">
        <v>14</v>
      </c>
      <c r="BJ41" s="21">
        <v>2</v>
      </c>
      <c r="BK41" s="202">
        <v>20872.650000000001</v>
      </c>
      <c r="BL41" s="18" t="s">
        <v>16</v>
      </c>
      <c r="BM41" s="4">
        <v>2</v>
      </c>
      <c r="BN41" s="202">
        <v>26835</v>
      </c>
      <c r="BP41" s="2"/>
      <c r="CA41"/>
      <c r="CB41"/>
      <c r="CC41"/>
      <c r="CD41"/>
    </row>
    <row r="42" spans="16:84" x14ac:dyDescent="0.2">
      <c r="P42" s="18" t="s">
        <v>22</v>
      </c>
      <c r="Q42" s="21">
        <v>3</v>
      </c>
      <c r="R42" s="202">
        <v>22379.85</v>
      </c>
      <c r="S42" s="204" t="s">
        <v>23</v>
      </c>
      <c r="T42" s="21">
        <v>3</v>
      </c>
      <c r="U42" s="204">
        <v>25582.63</v>
      </c>
      <c r="V42" s="18" t="s">
        <v>24</v>
      </c>
      <c r="W42" s="21">
        <v>3</v>
      </c>
      <c r="X42" s="202">
        <v>27317.88</v>
      </c>
      <c r="Y42" s="18" t="s">
        <v>25</v>
      </c>
      <c r="Z42" s="21">
        <v>3</v>
      </c>
      <c r="AA42" s="202">
        <v>30267.82</v>
      </c>
      <c r="AB42" s="18" t="s">
        <v>26</v>
      </c>
      <c r="AC42" s="21">
        <v>3</v>
      </c>
      <c r="AD42" s="202">
        <v>36837</v>
      </c>
      <c r="AE42" s="18" t="s">
        <v>27</v>
      </c>
      <c r="AF42" s="21">
        <v>3</v>
      </c>
      <c r="AG42" s="202">
        <v>38274.78</v>
      </c>
      <c r="AH42" s="4" t="s">
        <v>28</v>
      </c>
      <c r="AI42" s="21">
        <v>3</v>
      </c>
      <c r="AJ42" s="201">
        <v>38919.300000000003</v>
      </c>
      <c r="AK42" s="18" t="s">
        <v>29</v>
      </c>
      <c r="AL42" s="21">
        <v>3</v>
      </c>
      <c r="AM42" s="201">
        <v>43009.53</v>
      </c>
      <c r="AN42" s="205" t="s">
        <v>30</v>
      </c>
      <c r="AO42" s="21">
        <v>3</v>
      </c>
      <c r="AP42" s="206">
        <v>35657.53</v>
      </c>
      <c r="AQ42" s="18" t="s">
        <v>31</v>
      </c>
      <c r="AR42" s="21">
        <v>3</v>
      </c>
      <c r="AS42" s="202">
        <v>28652.54</v>
      </c>
      <c r="AT42" s="18" t="s">
        <v>32</v>
      </c>
      <c r="AU42" s="21">
        <v>3</v>
      </c>
      <c r="AV42" s="202">
        <v>30596.02</v>
      </c>
      <c r="AW42" s="18" t="s">
        <v>33</v>
      </c>
      <c r="AX42" s="21">
        <v>3</v>
      </c>
      <c r="AY42" s="202">
        <v>32083.88</v>
      </c>
      <c r="AZ42" s="18" t="s">
        <v>34</v>
      </c>
      <c r="BA42" s="21">
        <v>3</v>
      </c>
      <c r="BB42" s="202">
        <v>39047.21</v>
      </c>
      <c r="BC42" s="18" t="s">
        <v>35</v>
      </c>
      <c r="BD42" s="21">
        <v>3</v>
      </c>
      <c r="BE42" s="202">
        <v>39040.29</v>
      </c>
      <c r="BF42" s="18" t="s">
        <v>36</v>
      </c>
      <c r="BG42" s="21">
        <v>3</v>
      </c>
      <c r="BH42" s="202">
        <v>33639.17</v>
      </c>
      <c r="BI42" s="18" t="s">
        <v>14</v>
      </c>
      <c r="BJ42" s="21">
        <v>3</v>
      </c>
      <c r="BK42" s="202">
        <v>21517.18</v>
      </c>
      <c r="BL42" s="18" t="s">
        <v>16</v>
      </c>
      <c r="BM42" s="4">
        <v>3</v>
      </c>
      <c r="BN42" s="202">
        <v>27105</v>
      </c>
      <c r="BP42" s="2"/>
      <c r="CA42"/>
      <c r="CB42"/>
      <c r="CC42"/>
      <c r="CD42"/>
    </row>
    <row r="43" spans="16:84" x14ac:dyDescent="0.2">
      <c r="P43" s="18" t="s">
        <v>22</v>
      </c>
      <c r="Q43" s="21">
        <v>4</v>
      </c>
      <c r="R43" s="202">
        <v>22816.15</v>
      </c>
      <c r="S43" s="204" t="s">
        <v>23</v>
      </c>
      <c r="T43" s="21">
        <v>4</v>
      </c>
      <c r="U43" s="204">
        <v>26177.58</v>
      </c>
      <c r="V43" s="18" t="s">
        <v>24</v>
      </c>
      <c r="W43" s="21">
        <v>4</v>
      </c>
      <c r="X43" s="202">
        <v>28160.720000000001</v>
      </c>
      <c r="Y43" s="18" t="s">
        <v>25</v>
      </c>
      <c r="Z43" s="21">
        <v>4</v>
      </c>
      <c r="AA43" s="202">
        <v>31185.03</v>
      </c>
      <c r="AB43" s="18" t="s">
        <v>26</v>
      </c>
      <c r="AC43" s="21">
        <v>4</v>
      </c>
      <c r="AD43" s="202">
        <v>37779</v>
      </c>
      <c r="AE43" s="18" t="s">
        <v>27</v>
      </c>
      <c r="AF43" s="21">
        <v>4</v>
      </c>
      <c r="AG43" s="202">
        <v>39241.57</v>
      </c>
      <c r="AH43" s="4" t="s">
        <v>28</v>
      </c>
      <c r="AI43" s="21">
        <v>4</v>
      </c>
      <c r="AJ43" s="201">
        <v>40406.67</v>
      </c>
      <c r="AK43" s="18" t="s">
        <v>29</v>
      </c>
      <c r="AL43" s="21">
        <v>4</v>
      </c>
      <c r="AM43" s="201">
        <v>44620.84</v>
      </c>
      <c r="AN43" s="205" t="s">
        <v>30</v>
      </c>
      <c r="AO43" s="21">
        <v>4</v>
      </c>
      <c r="AP43" s="206">
        <v>36682.33</v>
      </c>
      <c r="AQ43" s="18" t="s">
        <v>31</v>
      </c>
      <c r="AR43" s="21">
        <v>4</v>
      </c>
      <c r="AS43" s="202">
        <v>29318.880000000001</v>
      </c>
      <c r="AT43" s="18" t="s">
        <v>32</v>
      </c>
      <c r="AU43" s="21">
        <v>4</v>
      </c>
      <c r="AV43" s="202">
        <v>31540</v>
      </c>
      <c r="AW43" s="18" t="s">
        <v>33</v>
      </c>
      <c r="AX43" s="21">
        <v>4</v>
      </c>
      <c r="AY43" s="202">
        <v>33056.120000000003</v>
      </c>
      <c r="AZ43" s="18" t="s">
        <v>34</v>
      </c>
      <c r="BA43" s="21">
        <v>4</v>
      </c>
      <c r="BB43" s="202">
        <v>40045.730000000003</v>
      </c>
      <c r="BC43" s="18" t="s">
        <v>35</v>
      </c>
      <c r="BD43" s="21">
        <v>4</v>
      </c>
      <c r="BE43" s="202">
        <v>40026.42</v>
      </c>
      <c r="BF43" s="18" t="s">
        <v>36</v>
      </c>
      <c r="BG43" s="21">
        <v>4</v>
      </c>
      <c r="BH43" s="202">
        <v>34605.96</v>
      </c>
      <c r="BI43" s="18" t="s">
        <v>14</v>
      </c>
      <c r="BJ43" s="21">
        <v>4</v>
      </c>
      <c r="BK43" s="202">
        <v>22161.71</v>
      </c>
      <c r="BL43" s="18" t="s">
        <v>16</v>
      </c>
      <c r="BM43" s="4">
        <v>4</v>
      </c>
      <c r="BN43" s="202">
        <v>27375</v>
      </c>
      <c r="BP43" s="2"/>
      <c r="CA43"/>
      <c r="CB43"/>
      <c r="CC43"/>
      <c r="CD43"/>
    </row>
    <row r="44" spans="16:84" x14ac:dyDescent="0.2">
      <c r="P44" s="18" t="s">
        <v>22</v>
      </c>
      <c r="Q44" s="21">
        <v>5</v>
      </c>
      <c r="R44" s="202">
        <v>23252.45</v>
      </c>
      <c r="S44" s="204" t="s">
        <v>23</v>
      </c>
      <c r="T44" s="21">
        <v>5</v>
      </c>
      <c r="U44" s="204">
        <v>26772.53</v>
      </c>
      <c r="V44" s="18" t="s">
        <v>24</v>
      </c>
      <c r="W44" s="21">
        <v>5</v>
      </c>
      <c r="X44" s="202">
        <v>29003.56</v>
      </c>
      <c r="Y44" s="18" t="s">
        <v>25</v>
      </c>
      <c r="Z44" s="21">
        <v>5</v>
      </c>
      <c r="AA44" s="202">
        <v>32102.240000000002</v>
      </c>
      <c r="AB44" s="18" t="s">
        <v>26</v>
      </c>
      <c r="AC44" s="21">
        <v>5</v>
      </c>
      <c r="AD44" s="202">
        <v>38721</v>
      </c>
      <c r="AE44" s="18" t="s">
        <v>27</v>
      </c>
      <c r="AF44" s="21">
        <v>5</v>
      </c>
      <c r="AG44" s="202">
        <v>40208.36</v>
      </c>
      <c r="AH44" s="4" t="s">
        <v>28</v>
      </c>
      <c r="AI44" s="21">
        <v>5</v>
      </c>
      <c r="AJ44" s="201">
        <v>40406.67</v>
      </c>
      <c r="AK44" s="18" t="s">
        <v>29</v>
      </c>
      <c r="AL44" s="21">
        <v>5</v>
      </c>
      <c r="AM44" s="201">
        <v>44620.84</v>
      </c>
      <c r="AN44" s="205" t="s">
        <v>30</v>
      </c>
      <c r="AO44" s="21">
        <v>5</v>
      </c>
      <c r="AP44" s="206">
        <v>37707.129999999997</v>
      </c>
      <c r="AQ44" s="18" t="s">
        <v>31</v>
      </c>
      <c r="AR44" s="21">
        <v>5</v>
      </c>
      <c r="AS44" s="202">
        <v>29985.22</v>
      </c>
      <c r="AT44" s="18" t="s">
        <v>32</v>
      </c>
      <c r="AU44" s="21">
        <v>5</v>
      </c>
      <c r="AV44" s="202">
        <v>32483.98</v>
      </c>
      <c r="AW44" s="18" t="s">
        <v>33</v>
      </c>
      <c r="AX44" s="21">
        <v>5</v>
      </c>
      <c r="AY44" s="202">
        <v>34028.36</v>
      </c>
      <c r="AZ44" s="18" t="s">
        <v>34</v>
      </c>
      <c r="BA44" s="21">
        <v>5</v>
      </c>
      <c r="BB44" s="202">
        <v>41044.25</v>
      </c>
      <c r="BC44" s="18" t="s">
        <v>35</v>
      </c>
      <c r="BD44" s="21">
        <v>5</v>
      </c>
      <c r="BE44" s="202">
        <v>41012.550000000003</v>
      </c>
      <c r="BF44" s="18" t="s">
        <v>36</v>
      </c>
      <c r="BG44" s="21">
        <v>5</v>
      </c>
      <c r="BH44" s="202">
        <v>35572.75</v>
      </c>
      <c r="BI44" s="18" t="s">
        <v>14</v>
      </c>
      <c r="BJ44" s="21">
        <v>5</v>
      </c>
      <c r="BK44" s="202">
        <v>22806.240000000002</v>
      </c>
      <c r="BL44" s="18" t="s">
        <v>16</v>
      </c>
      <c r="BM44" s="4">
        <v>5</v>
      </c>
      <c r="BN44" s="202">
        <v>27644</v>
      </c>
      <c r="BP44" s="2"/>
      <c r="CA44"/>
      <c r="CB44"/>
      <c r="CC44"/>
      <c r="CD44"/>
    </row>
    <row r="45" spans="16:84" x14ac:dyDescent="0.2">
      <c r="P45" s="18" t="s">
        <v>22</v>
      </c>
      <c r="Q45" s="21">
        <v>6</v>
      </c>
      <c r="R45" s="202">
        <v>23688.75</v>
      </c>
      <c r="S45" s="204" t="s">
        <v>23</v>
      </c>
      <c r="T45" s="21">
        <v>6</v>
      </c>
      <c r="U45" s="204">
        <v>27367.48</v>
      </c>
      <c r="V45" s="18" t="s">
        <v>24</v>
      </c>
      <c r="W45" s="21">
        <v>6</v>
      </c>
      <c r="X45" s="202">
        <v>29846.400000000001</v>
      </c>
      <c r="Y45" s="18" t="s">
        <v>25</v>
      </c>
      <c r="Z45" s="21">
        <v>6</v>
      </c>
      <c r="AA45" s="202">
        <v>33019.449999999997</v>
      </c>
      <c r="AB45" s="18" t="s">
        <v>26</v>
      </c>
      <c r="AC45" s="21">
        <v>6</v>
      </c>
      <c r="AD45" s="202">
        <v>39663</v>
      </c>
      <c r="AE45" s="18" t="s">
        <v>27</v>
      </c>
      <c r="AF45" s="21">
        <v>6</v>
      </c>
      <c r="AG45" s="202">
        <v>41175.15</v>
      </c>
      <c r="AH45" s="4" t="s">
        <v>28</v>
      </c>
      <c r="AI45" s="21">
        <v>6</v>
      </c>
      <c r="AJ45" s="201">
        <v>41894.04</v>
      </c>
      <c r="AK45" s="18" t="s">
        <v>29</v>
      </c>
      <c r="AL45" s="21">
        <v>6</v>
      </c>
      <c r="AM45" s="201">
        <v>46232.15</v>
      </c>
      <c r="AN45" s="205" t="s">
        <v>30</v>
      </c>
      <c r="AO45" s="21">
        <v>6</v>
      </c>
      <c r="AP45" s="206">
        <v>38731.93</v>
      </c>
      <c r="AQ45" s="18" t="s">
        <v>31</v>
      </c>
      <c r="AR45" s="21">
        <v>6</v>
      </c>
      <c r="AS45" s="202">
        <v>30651.56</v>
      </c>
      <c r="AT45" s="18" t="s">
        <v>32</v>
      </c>
      <c r="AU45" s="21">
        <v>6</v>
      </c>
      <c r="AV45" s="202">
        <v>33427.96</v>
      </c>
      <c r="AW45" s="18" t="s">
        <v>33</v>
      </c>
      <c r="AX45" s="21">
        <v>6</v>
      </c>
      <c r="AY45" s="202">
        <v>35000.6</v>
      </c>
      <c r="AZ45" s="18" t="s">
        <v>34</v>
      </c>
      <c r="BA45" s="21">
        <v>6</v>
      </c>
      <c r="BB45" s="202">
        <v>42042.77</v>
      </c>
      <c r="BC45" s="18" t="s">
        <v>35</v>
      </c>
      <c r="BD45" s="21">
        <v>6</v>
      </c>
      <c r="BE45" s="202">
        <v>41998.68</v>
      </c>
      <c r="BF45" s="18" t="s">
        <v>36</v>
      </c>
      <c r="BG45" s="21">
        <v>6</v>
      </c>
      <c r="BH45" s="202">
        <v>36539.54</v>
      </c>
      <c r="BI45" s="18" t="s">
        <v>14</v>
      </c>
      <c r="BJ45" s="21">
        <v>6</v>
      </c>
      <c r="BK45" s="202">
        <v>23450.77</v>
      </c>
      <c r="BL45" s="18" t="s">
        <v>16</v>
      </c>
      <c r="BM45" s="4">
        <v>6</v>
      </c>
      <c r="BN45" s="202">
        <v>27914</v>
      </c>
      <c r="BP45" s="2"/>
      <c r="CA45"/>
      <c r="CB45"/>
      <c r="CC45"/>
      <c r="CD45"/>
    </row>
    <row r="46" spans="16:84" x14ac:dyDescent="0.2">
      <c r="P46" s="18" t="s">
        <v>22</v>
      </c>
      <c r="Q46" s="21">
        <v>7</v>
      </c>
      <c r="R46" s="202">
        <v>24125.05</v>
      </c>
      <c r="S46" s="204" t="s">
        <v>23</v>
      </c>
      <c r="T46" s="21">
        <v>7</v>
      </c>
      <c r="U46" s="204">
        <v>27962.43</v>
      </c>
      <c r="V46" s="18" t="s">
        <v>24</v>
      </c>
      <c r="W46" s="21">
        <v>7</v>
      </c>
      <c r="X46" s="202">
        <v>30689.24</v>
      </c>
      <c r="Y46" s="18" t="s">
        <v>25</v>
      </c>
      <c r="Z46" s="21">
        <v>7</v>
      </c>
      <c r="AA46" s="202">
        <v>33936.660000000003</v>
      </c>
      <c r="AB46" s="18" t="s">
        <v>26</v>
      </c>
      <c r="AC46" s="21">
        <v>7</v>
      </c>
      <c r="AD46" s="202">
        <v>40605</v>
      </c>
      <c r="AE46" s="18" t="s">
        <v>27</v>
      </c>
      <c r="AF46" s="21">
        <v>7</v>
      </c>
      <c r="AG46" s="202">
        <v>42141.94</v>
      </c>
      <c r="AH46" s="4" t="s">
        <v>28</v>
      </c>
      <c r="AI46" s="21">
        <v>7</v>
      </c>
      <c r="AJ46" s="201">
        <v>41894.04</v>
      </c>
      <c r="AK46" s="18" t="s">
        <v>29</v>
      </c>
      <c r="AL46" s="21">
        <v>7</v>
      </c>
      <c r="AM46" s="201">
        <v>46232.15</v>
      </c>
      <c r="AN46" s="205" t="s">
        <v>30</v>
      </c>
      <c r="AO46" s="21">
        <v>7</v>
      </c>
      <c r="AP46" s="206">
        <v>39756.730000000003</v>
      </c>
      <c r="AQ46" s="18" t="s">
        <v>31</v>
      </c>
      <c r="AR46" s="21">
        <v>7</v>
      </c>
      <c r="AS46" s="202">
        <v>31317.9</v>
      </c>
      <c r="AT46" s="18" t="s">
        <v>32</v>
      </c>
      <c r="AU46" s="21">
        <v>7</v>
      </c>
      <c r="AV46" s="202">
        <v>34371.94</v>
      </c>
      <c r="AW46" s="18" t="s">
        <v>33</v>
      </c>
      <c r="AX46" s="21">
        <v>7</v>
      </c>
      <c r="AY46" s="202">
        <v>35972.839999999997</v>
      </c>
      <c r="AZ46" s="18" t="s">
        <v>34</v>
      </c>
      <c r="BA46" s="21">
        <v>7</v>
      </c>
      <c r="BB46" s="202">
        <v>43041.29</v>
      </c>
      <c r="BC46" s="18" t="s">
        <v>35</v>
      </c>
      <c r="BD46" s="21">
        <v>7</v>
      </c>
      <c r="BE46" s="202">
        <v>42984.81</v>
      </c>
      <c r="BF46" s="18" t="s">
        <v>36</v>
      </c>
      <c r="BG46" s="21">
        <v>7</v>
      </c>
      <c r="BH46" s="202">
        <v>37506.33</v>
      </c>
      <c r="BI46" s="18" t="s">
        <v>14</v>
      </c>
      <c r="BJ46" s="21">
        <v>7</v>
      </c>
      <c r="BK46" s="202">
        <v>24095.3</v>
      </c>
      <c r="BL46" s="18" t="s">
        <v>16</v>
      </c>
      <c r="BM46" s="4">
        <v>7</v>
      </c>
      <c r="BN46" s="202">
        <v>28184</v>
      </c>
      <c r="BP46" s="2"/>
      <c r="CA46"/>
      <c r="CB46"/>
      <c r="CC46"/>
      <c r="CD46"/>
    </row>
    <row r="47" spans="16:84" x14ac:dyDescent="0.2">
      <c r="P47" s="18" t="s">
        <v>22</v>
      </c>
      <c r="Q47" s="21">
        <v>8</v>
      </c>
      <c r="R47" s="202">
        <v>24561.35</v>
      </c>
      <c r="S47" s="204" t="s">
        <v>23</v>
      </c>
      <c r="T47" s="21">
        <v>8</v>
      </c>
      <c r="U47" s="204">
        <v>28557.38</v>
      </c>
      <c r="V47" s="18" t="s">
        <v>24</v>
      </c>
      <c r="W47" s="21">
        <v>8</v>
      </c>
      <c r="X47" s="202">
        <v>31532.080000000002</v>
      </c>
      <c r="Y47" s="18" t="s">
        <v>25</v>
      </c>
      <c r="Z47" s="21">
        <v>8</v>
      </c>
      <c r="AA47" s="202">
        <v>34853.870000000003</v>
      </c>
      <c r="AB47" s="18" t="s">
        <v>26</v>
      </c>
      <c r="AC47" s="21">
        <v>8</v>
      </c>
      <c r="AD47" s="202">
        <v>41547</v>
      </c>
      <c r="AE47" s="18" t="s">
        <v>27</v>
      </c>
      <c r="AF47" s="21">
        <v>8</v>
      </c>
      <c r="AG47" s="202">
        <v>43108.73</v>
      </c>
      <c r="AH47" s="4" t="s">
        <v>28</v>
      </c>
      <c r="AI47" s="21">
        <v>8</v>
      </c>
      <c r="AJ47" s="201">
        <v>43381.41</v>
      </c>
      <c r="AK47" s="18" t="s">
        <v>29</v>
      </c>
      <c r="AL47" s="21">
        <v>8</v>
      </c>
      <c r="AM47" s="201">
        <v>47843.46</v>
      </c>
      <c r="AN47" s="205" t="s">
        <v>30</v>
      </c>
      <c r="AO47" s="21">
        <v>8</v>
      </c>
      <c r="AP47" s="206">
        <v>40781.53</v>
      </c>
      <c r="AQ47" s="18" t="s">
        <v>31</v>
      </c>
      <c r="AR47" s="21">
        <v>8</v>
      </c>
      <c r="AS47" s="202">
        <v>31984.240000000002</v>
      </c>
      <c r="AT47" s="18" t="s">
        <v>32</v>
      </c>
      <c r="AU47" s="21">
        <v>8</v>
      </c>
      <c r="AV47" s="202">
        <v>35315.919999999998</v>
      </c>
      <c r="AW47" s="18" t="s">
        <v>33</v>
      </c>
      <c r="AX47" s="21">
        <v>8</v>
      </c>
      <c r="AY47" s="202">
        <v>36945.08</v>
      </c>
      <c r="AZ47" s="18" t="s">
        <v>34</v>
      </c>
      <c r="BA47" s="21">
        <v>8</v>
      </c>
      <c r="BB47" s="202">
        <v>44039.81</v>
      </c>
      <c r="BC47" s="18" t="s">
        <v>35</v>
      </c>
      <c r="BD47" s="21">
        <v>8</v>
      </c>
      <c r="BE47" s="202">
        <v>43970.94</v>
      </c>
      <c r="BF47" s="18" t="s">
        <v>36</v>
      </c>
      <c r="BG47" s="21">
        <v>8</v>
      </c>
      <c r="BH47" s="202">
        <v>38473.120000000003</v>
      </c>
      <c r="BI47" s="18" t="s">
        <v>14</v>
      </c>
      <c r="BJ47" s="21">
        <v>8</v>
      </c>
      <c r="BK47" s="202">
        <v>24739.83</v>
      </c>
      <c r="BL47" s="18" t="s">
        <v>16</v>
      </c>
      <c r="BM47" s="4">
        <v>8</v>
      </c>
      <c r="BN47" s="202">
        <v>28453</v>
      </c>
      <c r="BP47" s="2"/>
      <c r="CA47"/>
      <c r="CB47"/>
      <c r="CC47"/>
      <c r="CD47"/>
    </row>
    <row r="48" spans="16:84" x14ac:dyDescent="0.2">
      <c r="P48" s="18" t="s">
        <v>22</v>
      </c>
      <c r="Q48" s="21">
        <v>9</v>
      </c>
      <c r="R48" s="202">
        <v>24997.65</v>
      </c>
      <c r="S48" s="204" t="s">
        <v>23</v>
      </c>
      <c r="T48" s="21">
        <v>9</v>
      </c>
      <c r="U48" s="204">
        <v>29152.33</v>
      </c>
      <c r="V48" s="18" t="s">
        <v>24</v>
      </c>
      <c r="W48" s="21">
        <v>9</v>
      </c>
      <c r="X48" s="202">
        <v>32374.92</v>
      </c>
      <c r="Y48" s="18" t="s">
        <v>25</v>
      </c>
      <c r="Z48" s="21">
        <v>9</v>
      </c>
      <c r="AA48" s="202">
        <v>35771.08</v>
      </c>
      <c r="AB48" s="18" t="s">
        <v>26</v>
      </c>
      <c r="AC48" s="21">
        <v>9</v>
      </c>
      <c r="AD48" s="202">
        <v>42489</v>
      </c>
      <c r="AE48" s="18" t="s">
        <v>27</v>
      </c>
      <c r="AF48" s="21">
        <v>9</v>
      </c>
      <c r="AG48" s="202">
        <v>44075.519999999997</v>
      </c>
      <c r="AH48" s="4" t="s">
        <v>28</v>
      </c>
      <c r="AI48" s="21">
        <v>9</v>
      </c>
      <c r="AJ48" s="201">
        <v>43381.41</v>
      </c>
      <c r="AK48" s="18" t="s">
        <v>29</v>
      </c>
      <c r="AL48" s="21">
        <v>9</v>
      </c>
      <c r="AM48" s="201">
        <v>47843.46</v>
      </c>
      <c r="AN48" s="205" t="s">
        <v>30</v>
      </c>
      <c r="AO48" s="21">
        <v>9</v>
      </c>
      <c r="AP48" s="206">
        <v>41806.33</v>
      </c>
      <c r="AQ48" s="18" t="s">
        <v>31</v>
      </c>
      <c r="AR48" s="21">
        <v>9</v>
      </c>
      <c r="AS48" s="202">
        <v>32650.58</v>
      </c>
      <c r="AT48" s="18" t="s">
        <v>32</v>
      </c>
      <c r="AU48" s="21">
        <v>9</v>
      </c>
      <c r="AV48" s="202">
        <v>36259.9</v>
      </c>
      <c r="AW48" s="18" t="s">
        <v>33</v>
      </c>
      <c r="AX48" s="21">
        <v>9</v>
      </c>
      <c r="AY48" s="202">
        <v>37917.32</v>
      </c>
      <c r="AZ48" s="18" t="s">
        <v>34</v>
      </c>
      <c r="BA48" s="21">
        <v>9</v>
      </c>
      <c r="BB48" s="202">
        <v>45038.33</v>
      </c>
      <c r="BC48" s="18" t="s">
        <v>35</v>
      </c>
      <c r="BD48" s="21">
        <v>9</v>
      </c>
      <c r="BE48" s="202">
        <v>44957.07</v>
      </c>
      <c r="BF48" s="18" t="s">
        <v>36</v>
      </c>
      <c r="BG48" s="21">
        <v>9</v>
      </c>
      <c r="BH48" s="202">
        <v>39439.910000000003</v>
      </c>
      <c r="BI48" s="18" t="s">
        <v>14</v>
      </c>
      <c r="BJ48" s="21">
        <v>9</v>
      </c>
      <c r="BK48" s="202">
        <v>25384.36</v>
      </c>
      <c r="BL48" s="18" t="s">
        <v>16</v>
      </c>
      <c r="BM48" s="4">
        <v>9</v>
      </c>
      <c r="BN48" s="202">
        <v>28723</v>
      </c>
      <c r="BP48" s="2"/>
      <c r="CA48"/>
      <c r="CB48"/>
      <c r="CC48"/>
      <c r="CD48"/>
    </row>
    <row r="49" spans="16:82" x14ac:dyDescent="0.2">
      <c r="P49" s="18" t="s">
        <v>22</v>
      </c>
      <c r="Q49" s="21">
        <v>10</v>
      </c>
      <c r="R49" s="202">
        <v>25433.95</v>
      </c>
      <c r="S49" s="204" t="s">
        <v>23</v>
      </c>
      <c r="T49" s="21">
        <v>10</v>
      </c>
      <c r="U49" s="204">
        <v>29747.279999999999</v>
      </c>
      <c r="V49" s="18" t="s">
        <v>24</v>
      </c>
      <c r="W49" s="21">
        <v>10</v>
      </c>
      <c r="X49" s="202">
        <v>33217.760000000002</v>
      </c>
      <c r="Y49" s="18" t="s">
        <v>25</v>
      </c>
      <c r="Z49" s="21">
        <v>10</v>
      </c>
      <c r="AA49" s="202">
        <v>36688.29</v>
      </c>
      <c r="AB49" s="18" t="s">
        <v>26</v>
      </c>
      <c r="AC49" s="21">
        <v>10</v>
      </c>
      <c r="AD49" s="202">
        <v>43431</v>
      </c>
      <c r="AE49" s="18" t="s">
        <v>27</v>
      </c>
      <c r="AF49" s="21">
        <v>10</v>
      </c>
      <c r="AG49" s="202">
        <v>45042.31</v>
      </c>
      <c r="AH49" s="4" t="s">
        <v>28</v>
      </c>
      <c r="AI49" s="21">
        <v>10</v>
      </c>
      <c r="AJ49" s="201">
        <v>44868.78</v>
      </c>
      <c r="AK49" s="18" t="s">
        <v>29</v>
      </c>
      <c r="AL49" s="21">
        <v>10</v>
      </c>
      <c r="AM49" s="201">
        <v>49454.77</v>
      </c>
      <c r="AN49" s="205" t="s">
        <v>30</v>
      </c>
      <c r="AO49" s="21">
        <v>10</v>
      </c>
      <c r="AP49" s="206">
        <v>42831.13</v>
      </c>
      <c r="AQ49" s="18" t="s">
        <v>31</v>
      </c>
      <c r="AR49" s="21">
        <v>10</v>
      </c>
      <c r="AS49" s="202">
        <v>33316.92</v>
      </c>
      <c r="AT49" s="18" t="s">
        <v>32</v>
      </c>
      <c r="AU49" s="21">
        <v>10</v>
      </c>
      <c r="AV49" s="202">
        <v>37203.879999999997</v>
      </c>
      <c r="AW49" s="18" t="s">
        <v>33</v>
      </c>
      <c r="AX49" s="21">
        <v>10</v>
      </c>
      <c r="AY49" s="202">
        <v>38889.56</v>
      </c>
      <c r="AZ49" s="18" t="s">
        <v>34</v>
      </c>
      <c r="BA49" s="21">
        <v>10</v>
      </c>
      <c r="BB49" s="202">
        <v>46036.85</v>
      </c>
      <c r="BC49" s="18" t="s">
        <v>35</v>
      </c>
      <c r="BD49" s="21">
        <v>10</v>
      </c>
      <c r="BE49" s="202">
        <v>45943.199999999997</v>
      </c>
      <c r="BF49" s="18" t="s">
        <v>36</v>
      </c>
      <c r="BG49" s="21">
        <v>10</v>
      </c>
      <c r="BH49" s="202">
        <v>40406.699999999997</v>
      </c>
      <c r="BI49" s="18" t="s">
        <v>14</v>
      </c>
      <c r="BJ49" s="21">
        <v>10</v>
      </c>
      <c r="BK49" s="202">
        <v>26028.89</v>
      </c>
      <c r="BL49" s="18" t="s">
        <v>16</v>
      </c>
      <c r="BM49" s="4">
        <v>10</v>
      </c>
      <c r="BN49" s="202">
        <v>28993</v>
      </c>
      <c r="BP49" s="2"/>
      <c r="CA49"/>
      <c r="CB49"/>
      <c r="CC49"/>
      <c r="CD49"/>
    </row>
    <row r="50" spans="16:82" x14ac:dyDescent="0.2">
      <c r="P50" s="18" t="s">
        <v>22</v>
      </c>
      <c r="Q50" s="21">
        <v>11</v>
      </c>
      <c r="R50" s="202">
        <v>25870.25</v>
      </c>
      <c r="S50" s="204" t="s">
        <v>23</v>
      </c>
      <c r="T50" s="21">
        <v>11</v>
      </c>
      <c r="U50" s="204">
        <v>30342.23</v>
      </c>
      <c r="V50" s="18" t="s">
        <v>24</v>
      </c>
      <c r="W50" s="21">
        <v>11</v>
      </c>
      <c r="X50" s="202">
        <v>33961.449999999997</v>
      </c>
      <c r="Y50" s="18" t="s">
        <v>25</v>
      </c>
      <c r="Z50" s="21">
        <v>11</v>
      </c>
      <c r="AA50" s="202">
        <v>37580.71</v>
      </c>
      <c r="AB50" s="18" t="s">
        <v>26</v>
      </c>
      <c r="AC50" s="21">
        <v>11</v>
      </c>
      <c r="AD50" s="202">
        <v>44373</v>
      </c>
      <c r="AE50" s="18" t="s">
        <v>27</v>
      </c>
      <c r="AF50" s="21">
        <v>11</v>
      </c>
      <c r="AG50" s="202">
        <v>46009.1</v>
      </c>
      <c r="AH50" s="4" t="s">
        <v>28</v>
      </c>
      <c r="AI50" s="21">
        <v>11</v>
      </c>
      <c r="AJ50" s="201">
        <v>44868.78</v>
      </c>
      <c r="AK50" s="18" t="s">
        <v>29</v>
      </c>
      <c r="AL50" s="21">
        <v>11</v>
      </c>
      <c r="AM50" s="201">
        <v>49454.77</v>
      </c>
      <c r="AN50" s="205" t="s">
        <v>30</v>
      </c>
      <c r="AO50" s="21">
        <v>11</v>
      </c>
      <c r="AP50" s="206">
        <v>43855.93</v>
      </c>
      <c r="AQ50" s="18" t="s">
        <v>31</v>
      </c>
      <c r="AR50" s="21">
        <v>11</v>
      </c>
      <c r="AS50" s="202">
        <v>33983.26</v>
      </c>
      <c r="AT50" s="18" t="s">
        <v>32</v>
      </c>
      <c r="AU50" s="21">
        <v>11</v>
      </c>
      <c r="AV50" s="202">
        <v>38036.81</v>
      </c>
      <c r="AW50" s="18" t="s">
        <v>33</v>
      </c>
      <c r="AX50" s="21">
        <v>11</v>
      </c>
      <c r="AY50" s="202">
        <v>39835.53</v>
      </c>
      <c r="AZ50" s="18" t="s">
        <v>34</v>
      </c>
      <c r="BA50" s="21">
        <v>11</v>
      </c>
      <c r="BB50" s="202">
        <v>47035.37</v>
      </c>
      <c r="BC50" s="18" t="s">
        <v>35</v>
      </c>
      <c r="BD50" s="21">
        <v>11</v>
      </c>
      <c r="BE50" s="202">
        <v>46929.33</v>
      </c>
      <c r="BF50" s="18" t="s">
        <v>36</v>
      </c>
      <c r="BG50" s="21">
        <v>11</v>
      </c>
      <c r="BH50" s="202">
        <v>41373.49</v>
      </c>
      <c r="BI50" s="18" t="s">
        <v>14</v>
      </c>
      <c r="BJ50" s="21">
        <v>11</v>
      </c>
      <c r="BK50" s="202">
        <v>26673.42</v>
      </c>
      <c r="BL50" s="18" t="s">
        <v>16</v>
      </c>
      <c r="BM50" s="4">
        <v>11</v>
      </c>
      <c r="BN50" s="202">
        <v>29262</v>
      </c>
      <c r="BP50" s="2"/>
      <c r="CA50"/>
      <c r="CB50"/>
      <c r="CC50"/>
      <c r="CD50"/>
    </row>
    <row r="51" spans="16:82" x14ac:dyDescent="0.2">
      <c r="P51" s="18" t="s">
        <v>22</v>
      </c>
      <c r="Q51" s="21">
        <v>12</v>
      </c>
      <c r="R51" s="202">
        <v>26306.55</v>
      </c>
      <c r="S51" s="204" t="s">
        <v>23</v>
      </c>
      <c r="T51" s="21">
        <v>12</v>
      </c>
      <c r="U51" s="204">
        <v>30937.18</v>
      </c>
      <c r="V51" s="18" t="s">
        <v>24</v>
      </c>
      <c r="W51" s="21">
        <v>12</v>
      </c>
      <c r="X51" s="202">
        <v>34705.14</v>
      </c>
      <c r="Y51" s="18" t="s">
        <v>25</v>
      </c>
      <c r="Z51" s="21">
        <v>12</v>
      </c>
      <c r="AA51" s="202">
        <v>38473.129999999997</v>
      </c>
      <c r="AB51" s="18" t="s">
        <v>26</v>
      </c>
      <c r="AC51" s="21">
        <v>12</v>
      </c>
      <c r="AD51" s="202">
        <v>45315</v>
      </c>
      <c r="AE51" s="18" t="s">
        <v>27</v>
      </c>
      <c r="AF51" s="21">
        <v>12</v>
      </c>
      <c r="AG51" s="202">
        <v>46975.89</v>
      </c>
      <c r="AH51" s="4" t="s">
        <v>28</v>
      </c>
      <c r="AI51" s="21">
        <v>12</v>
      </c>
      <c r="AJ51" s="201">
        <v>46356.15</v>
      </c>
      <c r="AK51" s="18" t="s">
        <v>29</v>
      </c>
      <c r="AL51" s="21">
        <v>12</v>
      </c>
      <c r="AM51" s="201">
        <v>51066.080000000002</v>
      </c>
      <c r="AN51" s="205" t="s">
        <v>30</v>
      </c>
      <c r="AO51" s="21">
        <v>12</v>
      </c>
      <c r="AP51" s="206">
        <v>44880.73</v>
      </c>
      <c r="AQ51" s="18" t="s">
        <v>31</v>
      </c>
      <c r="AR51" s="21">
        <v>12</v>
      </c>
      <c r="AS51" s="202">
        <v>34649.599999999999</v>
      </c>
      <c r="AT51" s="18" t="s">
        <v>32</v>
      </c>
      <c r="AU51" s="21">
        <v>12</v>
      </c>
      <c r="AV51" s="202">
        <v>38869.74</v>
      </c>
      <c r="AW51" s="18" t="s">
        <v>33</v>
      </c>
      <c r="AX51" s="21">
        <v>12</v>
      </c>
      <c r="AY51" s="202">
        <v>40781.5</v>
      </c>
      <c r="AZ51" s="18" t="s">
        <v>34</v>
      </c>
      <c r="BA51" s="21">
        <v>12</v>
      </c>
      <c r="BB51" s="202">
        <v>48033.89</v>
      </c>
      <c r="BC51" s="18" t="s">
        <v>35</v>
      </c>
      <c r="BD51" s="21">
        <v>12</v>
      </c>
      <c r="BE51" s="202">
        <v>47915.46</v>
      </c>
      <c r="BF51" s="18" t="s">
        <v>36</v>
      </c>
      <c r="BG51" s="21">
        <v>12</v>
      </c>
      <c r="BH51" s="202">
        <v>42340.28</v>
      </c>
      <c r="BI51" s="18" t="s">
        <v>14</v>
      </c>
      <c r="BJ51" s="21">
        <v>12</v>
      </c>
      <c r="BK51" s="202">
        <v>27317.95</v>
      </c>
      <c r="BL51" s="18" t="s">
        <v>16</v>
      </c>
      <c r="BM51" s="4">
        <v>12</v>
      </c>
      <c r="BN51" s="202">
        <v>29532</v>
      </c>
      <c r="BP51" s="2"/>
      <c r="CA51"/>
      <c r="CB51"/>
      <c r="CC51"/>
      <c r="CD51"/>
    </row>
    <row r="52" spans="16:82" x14ac:dyDescent="0.2">
      <c r="P52" s="18" t="s">
        <v>22</v>
      </c>
      <c r="Q52" s="21">
        <v>13</v>
      </c>
      <c r="R52" s="202">
        <v>26742.85</v>
      </c>
      <c r="S52" s="204" t="s">
        <v>23</v>
      </c>
      <c r="T52" s="21">
        <v>13</v>
      </c>
      <c r="U52" s="204">
        <v>31532.13</v>
      </c>
      <c r="V52" s="18" t="s">
        <v>24</v>
      </c>
      <c r="W52" s="21">
        <v>13</v>
      </c>
      <c r="X52" s="202">
        <v>35101.769999999997</v>
      </c>
      <c r="Y52" s="18" t="s">
        <v>25</v>
      </c>
      <c r="Z52" s="21">
        <v>13</v>
      </c>
      <c r="AA52" s="202">
        <v>38894.550000000003</v>
      </c>
      <c r="AB52" s="18" t="s">
        <v>26</v>
      </c>
      <c r="AC52" s="21">
        <v>13</v>
      </c>
      <c r="AD52" s="202">
        <v>45550.5</v>
      </c>
      <c r="AE52" s="18" t="s">
        <v>27</v>
      </c>
      <c r="AF52" s="21">
        <v>13</v>
      </c>
      <c r="AG52" s="202">
        <v>47347.74</v>
      </c>
      <c r="AH52" s="4" t="s">
        <v>28</v>
      </c>
      <c r="AI52" s="21">
        <v>13</v>
      </c>
      <c r="AJ52" s="201">
        <v>46356.15</v>
      </c>
      <c r="AK52" s="18" t="s">
        <v>29</v>
      </c>
      <c r="AL52" s="21">
        <v>13</v>
      </c>
      <c r="AM52" s="201">
        <v>51066.080000000002</v>
      </c>
      <c r="AN52" s="205" t="s">
        <v>30</v>
      </c>
      <c r="AO52" s="21">
        <v>13</v>
      </c>
      <c r="AP52" s="206">
        <v>45353.72</v>
      </c>
      <c r="AQ52" s="18" t="s">
        <v>31</v>
      </c>
      <c r="AR52" s="21">
        <v>13</v>
      </c>
      <c r="AS52" s="202">
        <v>35315.94</v>
      </c>
      <c r="AT52" s="18" t="s">
        <v>32</v>
      </c>
      <c r="AU52" s="21">
        <v>13</v>
      </c>
      <c r="AV52" s="202">
        <v>39313.97</v>
      </c>
      <c r="AW52" s="18" t="s">
        <v>33</v>
      </c>
      <c r="AX52" s="21">
        <v>13</v>
      </c>
      <c r="AY52" s="202">
        <v>41228.21</v>
      </c>
      <c r="AZ52" s="18" t="s">
        <v>34</v>
      </c>
      <c r="BA52" s="21">
        <v>13</v>
      </c>
      <c r="BB52" s="202">
        <v>48283.519999999997</v>
      </c>
      <c r="BC52" s="18" t="s">
        <v>35</v>
      </c>
      <c r="BD52" s="21">
        <v>13</v>
      </c>
      <c r="BE52" s="202">
        <v>48294.74</v>
      </c>
      <c r="BF52" s="18" t="s">
        <v>36</v>
      </c>
      <c r="BG52" s="21">
        <v>13</v>
      </c>
      <c r="BH52" s="202">
        <v>42786.49</v>
      </c>
      <c r="BI52" s="18" t="s">
        <v>14</v>
      </c>
      <c r="BJ52" s="21">
        <v>13</v>
      </c>
      <c r="BK52" s="202">
        <v>27962.48</v>
      </c>
      <c r="BL52" s="18" t="s">
        <v>16</v>
      </c>
      <c r="BM52" s="4">
        <v>13</v>
      </c>
      <c r="BN52" s="202">
        <v>29802</v>
      </c>
      <c r="BP52" s="2"/>
      <c r="CA52"/>
      <c r="CB52"/>
      <c r="CC52"/>
      <c r="CD52"/>
    </row>
    <row r="53" spans="16:82" x14ac:dyDescent="0.2">
      <c r="P53" s="18" t="s">
        <v>22</v>
      </c>
      <c r="Q53" s="21">
        <v>14</v>
      </c>
      <c r="R53" s="202">
        <v>26993.23</v>
      </c>
      <c r="S53" s="204" t="s">
        <v>23</v>
      </c>
      <c r="T53" s="21">
        <v>14</v>
      </c>
      <c r="U53" s="204">
        <v>31879.19</v>
      </c>
      <c r="V53" s="18" t="s">
        <v>24</v>
      </c>
      <c r="W53" s="21">
        <v>14</v>
      </c>
      <c r="X53" s="202">
        <v>35498.400000000001</v>
      </c>
      <c r="Y53" s="18" t="s">
        <v>25</v>
      </c>
      <c r="Z53" s="21">
        <v>14</v>
      </c>
      <c r="AA53" s="202">
        <v>39315.97</v>
      </c>
      <c r="AB53" s="18" t="s">
        <v>26</v>
      </c>
      <c r="AC53" s="21">
        <v>14</v>
      </c>
      <c r="AD53" s="202">
        <v>45786</v>
      </c>
      <c r="AE53" s="18" t="s">
        <v>27</v>
      </c>
      <c r="AF53" s="21">
        <v>14</v>
      </c>
      <c r="AG53" s="202">
        <v>47719.59</v>
      </c>
      <c r="AH53" s="4" t="s">
        <v>28</v>
      </c>
      <c r="AI53" s="21">
        <v>14</v>
      </c>
      <c r="AJ53" s="201">
        <v>47843.519999999997</v>
      </c>
      <c r="AK53" s="18" t="s">
        <v>29</v>
      </c>
      <c r="AL53" s="21">
        <v>14</v>
      </c>
      <c r="AM53" s="201">
        <v>52677.39</v>
      </c>
      <c r="AN53" s="205" t="s">
        <v>30</v>
      </c>
      <c r="AO53" s="21">
        <v>14</v>
      </c>
      <c r="AP53" s="206">
        <v>45826.71</v>
      </c>
      <c r="AQ53" s="18" t="s">
        <v>31</v>
      </c>
      <c r="AR53" s="21">
        <v>14</v>
      </c>
      <c r="AS53" s="202">
        <v>35704.639999999999</v>
      </c>
      <c r="AT53" s="18" t="s">
        <v>32</v>
      </c>
      <c r="AU53" s="21">
        <v>14</v>
      </c>
      <c r="AV53" s="202">
        <v>39758.199999999997</v>
      </c>
      <c r="AW53" s="18" t="s">
        <v>33</v>
      </c>
      <c r="AX53" s="21">
        <v>14</v>
      </c>
      <c r="AY53" s="202">
        <v>41674.92</v>
      </c>
      <c r="AZ53" s="18" t="s">
        <v>34</v>
      </c>
      <c r="BA53" s="21">
        <v>14</v>
      </c>
      <c r="BB53" s="202">
        <v>48533.15</v>
      </c>
      <c r="BC53" s="18" t="s">
        <v>35</v>
      </c>
      <c r="BD53" s="21">
        <v>14</v>
      </c>
      <c r="BE53" s="202">
        <v>48674.02</v>
      </c>
      <c r="BF53" s="18" t="s">
        <v>36</v>
      </c>
      <c r="BG53" s="21">
        <v>14</v>
      </c>
      <c r="BH53" s="202">
        <v>43232.7</v>
      </c>
      <c r="BI53" s="18" t="s">
        <v>14</v>
      </c>
      <c r="BJ53" s="21">
        <v>14</v>
      </c>
      <c r="BK53" s="202">
        <v>28309.54</v>
      </c>
      <c r="BL53" s="18" t="s">
        <v>16</v>
      </c>
      <c r="BM53" s="4">
        <v>14</v>
      </c>
      <c r="BN53" s="202">
        <v>30071</v>
      </c>
      <c r="BP53" s="2"/>
      <c r="CA53"/>
      <c r="CB53"/>
      <c r="CC53"/>
      <c r="CD53"/>
    </row>
    <row r="54" spans="16:82" x14ac:dyDescent="0.2">
      <c r="P54" s="18" t="s">
        <v>22</v>
      </c>
      <c r="Q54" s="21">
        <v>15</v>
      </c>
      <c r="R54" s="202">
        <v>27243.61</v>
      </c>
      <c r="S54" s="204" t="s">
        <v>23</v>
      </c>
      <c r="T54" s="21">
        <v>15</v>
      </c>
      <c r="U54" s="204">
        <v>32226.25</v>
      </c>
      <c r="V54" s="18" t="s">
        <v>24</v>
      </c>
      <c r="W54" s="21">
        <v>15</v>
      </c>
      <c r="X54" s="202">
        <v>35895.03</v>
      </c>
      <c r="Y54" s="18" t="s">
        <v>25</v>
      </c>
      <c r="Z54" s="21">
        <v>15</v>
      </c>
      <c r="AA54" s="202">
        <v>39737.39</v>
      </c>
      <c r="AB54" s="18" t="s">
        <v>26</v>
      </c>
      <c r="AC54" s="21">
        <v>15</v>
      </c>
      <c r="AD54" s="202">
        <v>46021.5</v>
      </c>
      <c r="AE54" s="18" t="s">
        <v>27</v>
      </c>
      <c r="AF54" s="21">
        <v>15</v>
      </c>
      <c r="AG54" s="202">
        <v>48091.44</v>
      </c>
      <c r="AH54" s="4" t="s">
        <v>28</v>
      </c>
      <c r="AI54" s="21">
        <v>15</v>
      </c>
      <c r="AJ54" s="201">
        <v>47843.519999999997</v>
      </c>
      <c r="AK54" s="18" t="s">
        <v>29</v>
      </c>
      <c r="AL54" s="21">
        <v>15</v>
      </c>
      <c r="AM54" s="201">
        <v>52677.39</v>
      </c>
      <c r="AN54" s="205" t="s">
        <v>30</v>
      </c>
      <c r="AO54" s="21">
        <v>15</v>
      </c>
      <c r="AP54" s="206">
        <v>46299.7</v>
      </c>
      <c r="AQ54" s="18" t="s">
        <v>31</v>
      </c>
      <c r="AR54" s="21">
        <v>15</v>
      </c>
      <c r="AS54" s="202">
        <v>36093.339999999997</v>
      </c>
      <c r="AT54" s="18" t="s">
        <v>32</v>
      </c>
      <c r="AU54" s="21">
        <v>15</v>
      </c>
      <c r="AV54" s="202">
        <v>40202.43</v>
      </c>
      <c r="AW54" s="18" t="s">
        <v>33</v>
      </c>
      <c r="AX54" s="21">
        <v>15</v>
      </c>
      <c r="AY54" s="202">
        <v>42121.63</v>
      </c>
      <c r="AZ54" s="18" t="s">
        <v>34</v>
      </c>
      <c r="BA54" s="21">
        <v>15</v>
      </c>
      <c r="BB54" s="202">
        <v>48782.78</v>
      </c>
      <c r="BC54" s="18" t="s">
        <v>35</v>
      </c>
      <c r="BD54" s="21">
        <v>15</v>
      </c>
      <c r="BE54" s="202">
        <v>49053.3</v>
      </c>
      <c r="BF54" s="18" t="s">
        <v>36</v>
      </c>
      <c r="BG54" s="21">
        <v>15</v>
      </c>
      <c r="BH54" s="202">
        <v>43678.91</v>
      </c>
      <c r="BI54" s="18" t="s">
        <v>14</v>
      </c>
      <c r="BJ54" s="21">
        <v>15</v>
      </c>
      <c r="BK54" s="202">
        <v>28656.6</v>
      </c>
      <c r="BL54" s="18" t="s">
        <v>16</v>
      </c>
      <c r="BM54" s="4">
        <v>15</v>
      </c>
      <c r="BN54" s="202">
        <v>30341</v>
      </c>
      <c r="BP54" s="2"/>
      <c r="CA54"/>
      <c r="CB54"/>
      <c r="CC54"/>
      <c r="CD54"/>
    </row>
    <row r="55" spans="16:82" x14ac:dyDescent="0.2">
      <c r="P55" s="18" t="s">
        <v>22</v>
      </c>
      <c r="Q55" s="21">
        <v>16</v>
      </c>
      <c r="R55" s="202">
        <v>27493.99</v>
      </c>
      <c r="S55" s="204" t="s">
        <v>23</v>
      </c>
      <c r="T55" s="21">
        <v>16</v>
      </c>
      <c r="U55" s="204">
        <v>32548.52</v>
      </c>
      <c r="V55" s="18" t="s">
        <v>24</v>
      </c>
      <c r="W55" s="21">
        <v>16</v>
      </c>
      <c r="X55" s="202">
        <v>36291.660000000003</v>
      </c>
      <c r="Y55" s="18" t="s">
        <v>25</v>
      </c>
      <c r="Z55" s="21">
        <v>16</v>
      </c>
      <c r="AA55" s="202">
        <v>40158.81</v>
      </c>
      <c r="AB55" s="18" t="s">
        <v>26</v>
      </c>
      <c r="AC55" s="21">
        <v>16</v>
      </c>
      <c r="AD55" s="201">
        <v>46257</v>
      </c>
      <c r="AE55" s="18" t="s">
        <v>27</v>
      </c>
      <c r="AF55" s="21">
        <v>16</v>
      </c>
      <c r="AG55" s="201">
        <v>48463.29</v>
      </c>
      <c r="AH55" s="4" t="s">
        <v>28</v>
      </c>
      <c r="AI55" s="21">
        <v>16</v>
      </c>
      <c r="AJ55" s="201">
        <v>49330.89</v>
      </c>
      <c r="AK55" s="18" t="s">
        <v>29</v>
      </c>
      <c r="AL55" s="21">
        <v>16</v>
      </c>
      <c r="AM55" s="201">
        <v>54288.7</v>
      </c>
      <c r="AN55" s="205" t="s">
        <v>30</v>
      </c>
      <c r="AO55" s="21">
        <v>16</v>
      </c>
      <c r="AP55" s="206">
        <v>46772.69</v>
      </c>
      <c r="AQ55" s="18" t="s">
        <v>31</v>
      </c>
      <c r="AR55" s="21">
        <v>16</v>
      </c>
      <c r="AS55" s="202">
        <v>36454.28</v>
      </c>
      <c r="AT55" s="18" t="s">
        <v>32</v>
      </c>
      <c r="AU55" s="21">
        <v>16</v>
      </c>
      <c r="AV55" s="202">
        <v>40646.660000000003</v>
      </c>
      <c r="AW55" s="18" t="s">
        <v>33</v>
      </c>
      <c r="AX55" s="21">
        <v>16</v>
      </c>
      <c r="AY55" s="202">
        <v>42568.34</v>
      </c>
      <c r="AZ55" s="18" t="s">
        <v>34</v>
      </c>
      <c r="BA55" s="21">
        <v>16</v>
      </c>
      <c r="BB55" s="202">
        <v>49032.41</v>
      </c>
      <c r="BC55" s="18" t="s">
        <v>35</v>
      </c>
      <c r="BD55" s="21">
        <v>16</v>
      </c>
      <c r="BE55" s="202">
        <v>49432.58</v>
      </c>
      <c r="BF55" s="18" t="s">
        <v>36</v>
      </c>
      <c r="BG55" s="21">
        <v>16</v>
      </c>
      <c r="BH55" s="202">
        <v>44125.120000000003</v>
      </c>
      <c r="BI55" s="18" t="s">
        <v>14</v>
      </c>
      <c r="BJ55" s="21">
        <v>16</v>
      </c>
      <c r="BK55" s="202">
        <v>29003.66</v>
      </c>
      <c r="BL55" s="18" t="s">
        <v>16</v>
      </c>
      <c r="BM55" s="4">
        <v>16</v>
      </c>
      <c r="BN55" s="202">
        <v>30610</v>
      </c>
      <c r="BP55" s="2"/>
      <c r="CA55"/>
      <c r="CB55"/>
      <c r="CC55"/>
      <c r="CD55"/>
    </row>
    <row r="56" spans="16:82" x14ac:dyDescent="0.2">
      <c r="P56" s="18" t="s">
        <v>22</v>
      </c>
      <c r="Q56" s="21">
        <v>17</v>
      </c>
      <c r="R56" s="202">
        <v>27744.37</v>
      </c>
      <c r="S56" s="204" t="s">
        <v>23</v>
      </c>
      <c r="T56" s="21">
        <v>17</v>
      </c>
      <c r="U56" s="204">
        <v>32870.79</v>
      </c>
      <c r="V56" s="18" t="s">
        <v>24</v>
      </c>
      <c r="W56" s="21">
        <v>17</v>
      </c>
      <c r="X56" s="202">
        <v>36688.29</v>
      </c>
      <c r="Y56" s="18" t="s">
        <v>25</v>
      </c>
      <c r="Z56" s="21">
        <v>17</v>
      </c>
      <c r="AA56" s="202">
        <v>40580.230000000003</v>
      </c>
      <c r="AB56" s="18" t="s">
        <v>26</v>
      </c>
      <c r="AC56" s="21">
        <v>17</v>
      </c>
      <c r="AD56" s="202">
        <v>46492.5</v>
      </c>
      <c r="AE56" s="18" t="s">
        <v>27</v>
      </c>
      <c r="AF56" s="21">
        <v>17</v>
      </c>
      <c r="AG56" s="202">
        <v>48835.14</v>
      </c>
      <c r="AH56" s="4" t="s">
        <v>28</v>
      </c>
      <c r="AI56" s="21">
        <v>17</v>
      </c>
      <c r="AJ56" s="201">
        <v>49330.89</v>
      </c>
      <c r="AK56" s="18" t="s">
        <v>29</v>
      </c>
      <c r="AL56" s="21">
        <v>17</v>
      </c>
      <c r="AM56" s="201">
        <v>54288.7</v>
      </c>
      <c r="AN56" s="205" t="s">
        <v>30</v>
      </c>
      <c r="AO56" s="21">
        <v>17</v>
      </c>
      <c r="AP56" s="206">
        <v>47245.68</v>
      </c>
      <c r="AQ56" s="18" t="s">
        <v>31</v>
      </c>
      <c r="AR56" s="21">
        <v>17</v>
      </c>
      <c r="AS56" s="202">
        <v>36815.22</v>
      </c>
      <c r="AT56" s="18" t="s">
        <v>32</v>
      </c>
      <c r="AU56" s="21">
        <v>17</v>
      </c>
      <c r="AV56" s="202">
        <v>41090.89</v>
      </c>
      <c r="AW56" s="18" t="s">
        <v>33</v>
      </c>
      <c r="AX56" s="21">
        <v>17</v>
      </c>
      <c r="AY56" s="202">
        <v>43015.05</v>
      </c>
      <c r="AZ56" s="18" t="s">
        <v>34</v>
      </c>
      <c r="BA56" s="21">
        <v>17</v>
      </c>
      <c r="BB56" s="202">
        <v>49282.04</v>
      </c>
      <c r="BC56" s="18" t="s">
        <v>35</v>
      </c>
      <c r="BD56" s="21">
        <v>17</v>
      </c>
      <c r="BE56" s="202">
        <v>49811.86</v>
      </c>
      <c r="BF56" s="18" t="s">
        <v>36</v>
      </c>
      <c r="BG56" s="21">
        <v>17</v>
      </c>
      <c r="BH56" s="202">
        <v>44571.33</v>
      </c>
      <c r="BI56" s="18" t="s">
        <v>14</v>
      </c>
      <c r="BJ56" s="21">
        <v>17</v>
      </c>
      <c r="BK56" s="202">
        <v>29350.720000000001</v>
      </c>
      <c r="BL56" s="18" t="s">
        <v>16</v>
      </c>
      <c r="BM56" s="4">
        <v>17</v>
      </c>
      <c r="BN56" s="202">
        <v>30880</v>
      </c>
      <c r="BP56" s="2"/>
      <c r="CA56"/>
      <c r="CB56"/>
      <c r="CC56"/>
      <c r="CD56"/>
    </row>
    <row r="57" spans="16:82" x14ac:dyDescent="0.2">
      <c r="P57" s="18" t="s">
        <v>22</v>
      </c>
      <c r="Q57" s="21">
        <v>18</v>
      </c>
      <c r="R57" s="202">
        <v>27994.75</v>
      </c>
      <c r="S57" s="204" t="s">
        <v>23</v>
      </c>
      <c r="T57" s="21">
        <v>18</v>
      </c>
      <c r="U57" s="204">
        <v>33193.06</v>
      </c>
      <c r="V57" s="18" t="s">
        <v>24</v>
      </c>
      <c r="W57" s="21">
        <v>18</v>
      </c>
      <c r="X57" s="202">
        <v>37084.92</v>
      </c>
      <c r="Y57" s="18" t="s">
        <v>25</v>
      </c>
      <c r="Z57" s="21">
        <v>18</v>
      </c>
      <c r="AA57" s="202">
        <v>41001.65</v>
      </c>
      <c r="AB57" s="18" t="s">
        <v>26</v>
      </c>
      <c r="AC57" s="21">
        <v>18</v>
      </c>
      <c r="AD57" s="202">
        <v>46728</v>
      </c>
      <c r="AE57" s="18" t="s">
        <v>27</v>
      </c>
      <c r="AF57" s="21">
        <v>18</v>
      </c>
      <c r="AG57" s="202">
        <v>49206.99</v>
      </c>
      <c r="AH57" s="4" t="s">
        <v>28</v>
      </c>
      <c r="AI57" s="21">
        <v>18</v>
      </c>
      <c r="AJ57" s="201">
        <v>50818.26</v>
      </c>
      <c r="AK57" s="18" t="s">
        <v>29</v>
      </c>
      <c r="AL57" s="21">
        <v>18</v>
      </c>
      <c r="AM57" s="201">
        <v>55900.01</v>
      </c>
      <c r="AN57" s="205" t="s">
        <v>30</v>
      </c>
      <c r="AO57" s="21">
        <v>18</v>
      </c>
      <c r="AP57" s="206">
        <v>47718.67</v>
      </c>
      <c r="AQ57" s="18" t="s">
        <v>31</v>
      </c>
      <c r="AR57" s="21">
        <v>18</v>
      </c>
      <c r="AS57" s="202">
        <v>37176.160000000003</v>
      </c>
      <c r="AT57" s="18" t="s">
        <v>32</v>
      </c>
      <c r="AU57" s="21">
        <v>18</v>
      </c>
      <c r="AV57" s="202">
        <v>41535.120000000003</v>
      </c>
      <c r="AW57" s="18" t="s">
        <v>33</v>
      </c>
      <c r="AX57" s="21">
        <v>18</v>
      </c>
      <c r="AY57" s="202">
        <v>43461.760000000002</v>
      </c>
      <c r="AZ57" s="18" t="s">
        <v>34</v>
      </c>
      <c r="BA57" s="21">
        <v>18</v>
      </c>
      <c r="BB57" s="202">
        <v>49531.67</v>
      </c>
      <c r="BC57" s="18" t="s">
        <v>35</v>
      </c>
      <c r="BD57" s="21">
        <v>18</v>
      </c>
      <c r="BE57" s="202">
        <v>50191.14</v>
      </c>
      <c r="BF57" s="18" t="s">
        <v>36</v>
      </c>
      <c r="BG57" s="21">
        <v>18</v>
      </c>
      <c r="BH57" s="202">
        <v>45017.54</v>
      </c>
      <c r="BI57" s="18" t="s">
        <v>14</v>
      </c>
      <c r="BJ57" s="21">
        <v>18</v>
      </c>
      <c r="BK57" s="202">
        <v>29697.78</v>
      </c>
      <c r="BL57" s="18" t="s">
        <v>16</v>
      </c>
      <c r="BM57" s="4">
        <v>18</v>
      </c>
      <c r="BN57" s="202">
        <v>31150</v>
      </c>
      <c r="BP57" s="2"/>
      <c r="CA57"/>
      <c r="CB57"/>
      <c r="CC57"/>
      <c r="CD57"/>
    </row>
    <row r="58" spans="16:82" x14ac:dyDescent="0.2">
      <c r="P58" s="18" t="s">
        <v>22</v>
      </c>
      <c r="Q58" s="21">
        <v>19</v>
      </c>
      <c r="R58" s="202">
        <v>28245.13</v>
      </c>
      <c r="S58" s="204" t="s">
        <v>23</v>
      </c>
      <c r="T58" s="21">
        <v>19</v>
      </c>
      <c r="U58" s="204">
        <v>33515.33</v>
      </c>
      <c r="V58" s="18" t="s">
        <v>24</v>
      </c>
      <c r="W58" s="21">
        <v>19</v>
      </c>
      <c r="X58" s="202">
        <v>37481.550000000003</v>
      </c>
      <c r="Y58" s="18" t="s">
        <v>25</v>
      </c>
      <c r="Z58" s="21">
        <v>19</v>
      </c>
      <c r="AA58" s="202">
        <v>41423.07</v>
      </c>
      <c r="AB58" s="18" t="s">
        <v>26</v>
      </c>
      <c r="AC58" s="21">
        <v>19</v>
      </c>
      <c r="AD58" s="202">
        <v>46963.5</v>
      </c>
      <c r="AE58" s="18" t="s">
        <v>27</v>
      </c>
      <c r="AF58" s="21">
        <v>19</v>
      </c>
      <c r="AG58" s="202">
        <v>49578.84</v>
      </c>
      <c r="AH58" s="4" t="s">
        <v>28</v>
      </c>
      <c r="AI58" s="21">
        <v>19</v>
      </c>
      <c r="AJ58" s="201">
        <v>50818.26</v>
      </c>
      <c r="AK58" s="18" t="s">
        <v>29</v>
      </c>
      <c r="AL58" s="21">
        <v>19</v>
      </c>
      <c r="AM58" s="201">
        <v>55900.01</v>
      </c>
      <c r="AN58" s="205" t="s">
        <v>30</v>
      </c>
      <c r="AO58" s="21">
        <v>19</v>
      </c>
      <c r="AP58" s="206">
        <v>48191.66</v>
      </c>
      <c r="AQ58" s="18" t="s">
        <v>31</v>
      </c>
      <c r="AR58" s="21">
        <v>19</v>
      </c>
      <c r="AS58" s="202">
        <v>37537.1</v>
      </c>
      <c r="AT58" s="18" t="s">
        <v>32</v>
      </c>
      <c r="AU58" s="21">
        <v>19</v>
      </c>
      <c r="AV58" s="202">
        <v>41979.35</v>
      </c>
      <c r="AW58" s="18" t="s">
        <v>33</v>
      </c>
      <c r="AX58" s="21">
        <v>19</v>
      </c>
      <c r="AY58" s="202">
        <v>43908.47</v>
      </c>
      <c r="AZ58" s="18" t="s">
        <v>34</v>
      </c>
      <c r="BA58" s="21">
        <v>19</v>
      </c>
      <c r="BB58" s="202">
        <v>49781.3</v>
      </c>
      <c r="BC58" s="18" t="s">
        <v>35</v>
      </c>
      <c r="BD58" s="21">
        <v>19</v>
      </c>
      <c r="BE58" s="202">
        <v>50570.42</v>
      </c>
      <c r="BF58" s="18" t="s">
        <v>36</v>
      </c>
      <c r="BG58" s="21">
        <v>19</v>
      </c>
      <c r="BH58" s="202">
        <v>45463.75</v>
      </c>
      <c r="BI58" s="18" t="s">
        <v>14</v>
      </c>
      <c r="BJ58" s="21">
        <v>19</v>
      </c>
      <c r="BK58" s="202">
        <v>30044.84</v>
      </c>
      <c r="BL58" s="18" t="s">
        <v>16</v>
      </c>
      <c r="BM58" s="4">
        <v>19</v>
      </c>
      <c r="BN58" s="202">
        <v>31419</v>
      </c>
      <c r="BP58" s="2"/>
      <c r="CA58"/>
      <c r="CB58"/>
      <c r="CC58"/>
      <c r="CD58"/>
    </row>
    <row r="59" spans="16:82" x14ac:dyDescent="0.2">
      <c r="P59" s="18" t="s">
        <v>22</v>
      </c>
      <c r="Q59" s="21">
        <v>20</v>
      </c>
      <c r="R59" s="202">
        <v>28495.51</v>
      </c>
      <c r="S59" s="204" t="s">
        <v>23</v>
      </c>
      <c r="T59" s="21">
        <v>20</v>
      </c>
      <c r="U59" s="204">
        <v>33837.599999999999</v>
      </c>
      <c r="V59" s="18" t="s">
        <v>24</v>
      </c>
      <c r="W59" s="21">
        <v>20</v>
      </c>
      <c r="X59" s="202">
        <v>37878.18</v>
      </c>
      <c r="Y59" s="18" t="s">
        <v>25</v>
      </c>
      <c r="Z59" s="21">
        <v>20</v>
      </c>
      <c r="AA59" s="202">
        <v>41844.49</v>
      </c>
      <c r="AB59" s="18" t="s">
        <v>26</v>
      </c>
      <c r="AC59" s="21">
        <v>20</v>
      </c>
      <c r="AD59" s="202">
        <v>47199</v>
      </c>
      <c r="AE59" s="18" t="s">
        <v>27</v>
      </c>
      <c r="AF59" s="21">
        <v>20</v>
      </c>
      <c r="AG59" s="202">
        <v>49950.69</v>
      </c>
      <c r="AH59" s="4" t="s">
        <v>28</v>
      </c>
      <c r="AI59" s="21">
        <v>20</v>
      </c>
      <c r="AJ59" s="201">
        <v>52305.63</v>
      </c>
      <c r="AK59" s="18" t="s">
        <v>29</v>
      </c>
      <c r="AL59" s="21">
        <v>20</v>
      </c>
      <c r="AM59" s="201">
        <v>57511.32</v>
      </c>
      <c r="AN59" s="205" t="s">
        <v>30</v>
      </c>
      <c r="AO59" s="21">
        <v>20</v>
      </c>
      <c r="AP59" s="206">
        <v>48664.65</v>
      </c>
      <c r="AQ59" s="18" t="s">
        <v>31</v>
      </c>
      <c r="AR59" s="21">
        <v>20</v>
      </c>
      <c r="AS59" s="202">
        <v>37898.04</v>
      </c>
      <c r="AT59" s="18" t="s">
        <v>32</v>
      </c>
      <c r="AU59" s="21">
        <v>20</v>
      </c>
      <c r="AV59" s="202">
        <v>42423.58</v>
      </c>
      <c r="AW59" s="18" t="s">
        <v>33</v>
      </c>
      <c r="AX59" s="21">
        <v>20</v>
      </c>
      <c r="AY59" s="202">
        <v>44355.18</v>
      </c>
      <c r="AZ59" s="18" t="s">
        <v>34</v>
      </c>
      <c r="BA59" s="21">
        <v>20</v>
      </c>
      <c r="BB59" s="202">
        <v>50030.93</v>
      </c>
      <c r="BC59" s="18" t="s">
        <v>35</v>
      </c>
      <c r="BD59" s="21">
        <v>20</v>
      </c>
      <c r="BE59" s="202">
        <v>50949.7</v>
      </c>
      <c r="BF59" s="18" t="s">
        <v>36</v>
      </c>
      <c r="BG59" s="21">
        <v>20</v>
      </c>
      <c r="BH59" s="202">
        <v>45909.96</v>
      </c>
      <c r="BI59" s="18" t="s">
        <v>14</v>
      </c>
      <c r="BJ59" s="21">
        <v>20</v>
      </c>
      <c r="BK59" s="202">
        <v>30391.9</v>
      </c>
      <c r="BL59" s="18" t="s">
        <v>16</v>
      </c>
      <c r="BM59" s="4">
        <v>20</v>
      </c>
      <c r="BN59" s="202">
        <v>31689</v>
      </c>
      <c r="BP59" s="2"/>
      <c r="CA59"/>
      <c r="CB59"/>
      <c r="CC59"/>
      <c r="CD59"/>
    </row>
    <row r="60" spans="16:82" x14ac:dyDescent="0.2">
      <c r="P60" s="18" t="s">
        <v>22</v>
      </c>
      <c r="Q60" s="21">
        <v>21</v>
      </c>
      <c r="R60" s="202">
        <v>28745.89</v>
      </c>
      <c r="S60" s="204" t="s">
        <v>23</v>
      </c>
      <c r="T60" s="21">
        <v>21</v>
      </c>
      <c r="U60" s="204">
        <v>34159.870000000003</v>
      </c>
      <c r="V60" s="18" t="s">
        <v>24</v>
      </c>
      <c r="W60" s="21">
        <v>21</v>
      </c>
      <c r="X60" s="202">
        <v>38274.81</v>
      </c>
      <c r="Y60" s="18" t="s">
        <v>25</v>
      </c>
      <c r="Z60" s="21">
        <v>21</v>
      </c>
      <c r="AA60" s="202">
        <v>42265.91</v>
      </c>
      <c r="AB60" s="18" t="s">
        <v>26</v>
      </c>
      <c r="AC60" s="21">
        <v>21</v>
      </c>
      <c r="AD60" s="202">
        <v>47434.5</v>
      </c>
      <c r="AE60" s="18" t="s">
        <v>27</v>
      </c>
      <c r="AF60" s="21">
        <v>21</v>
      </c>
      <c r="AG60" s="202">
        <v>50322.54</v>
      </c>
      <c r="AH60" s="4" t="s">
        <v>28</v>
      </c>
      <c r="AI60" s="21">
        <v>21</v>
      </c>
      <c r="AJ60" s="201">
        <v>52305.63</v>
      </c>
      <c r="AK60" s="18" t="s">
        <v>29</v>
      </c>
      <c r="AL60" s="21">
        <v>21</v>
      </c>
      <c r="AM60" s="201">
        <v>57511.32</v>
      </c>
      <c r="AN60" s="205" t="s">
        <v>30</v>
      </c>
      <c r="AO60" s="21">
        <v>21</v>
      </c>
      <c r="AP60" s="206">
        <v>49137.64</v>
      </c>
      <c r="AQ60" s="18" t="s">
        <v>31</v>
      </c>
      <c r="AR60" s="21">
        <v>21</v>
      </c>
      <c r="AS60" s="202">
        <v>38258.980000000003</v>
      </c>
      <c r="AT60" s="18" t="s">
        <v>32</v>
      </c>
      <c r="AU60" s="21">
        <v>21</v>
      </c>
      <c r="AV60" s="202">
        <v>42867.81</v>
      </c>
      <c r="AW60" s="18" t="s">
        <v>33</v>
      </c>
      <c r="AX60" s="21">
        <v>21</v>
      </c>
      <c r="AY60" s="202">
        <v>44801.89</v>
      </c>
      <c r="AZ60" s="18" t="s">
        <v>34</v>
      </c>
      <c r="BA60" s="21">
        <v>21</v>
      </c>
      <c r="BB60" s="202">
        <v>50280.56</v>
      </c>
      <c r="BC60" s="18" t="s">
        <v>35</v>
      </c>
      <c r="BD60" s="21">
        <v>21</v>
      </c>
      <c r="BE60" s="202">
        <v>51328.98</v>
      </c>
      <c r="BF60" s="18" t="s">
        <v>36</v>
      </c>
      <c r="BG60" s="21">
        <v>21</v>
      </c>
      <c r="BH60" s="202">
        <v>46356.17</v>
      </c>
      <c r="BI60" s="18" t="s">
        <v>14</v>
      </c>
      <c r="BJ60" s="21">
        <v>21</v>
      </c>
      <c r="BK60" s="202">
        <v>30738.959999999999</v>
      </c>
      <c r="BL60" s="18" t="s">
        <v>16</v>
      </c>
      <c r="BM60" s="4">
        <v>21</v>
      </c>
      <c r="BN60" s="202">
        <v>31959</v>
      </c>
      <c r="BP60" s="2"/>
      <c r="CA60"/>
      <c r="CB60"/>
      <c r="CC60"/>
      <c r="CD60"/>
    </row>
    <row r="61" spans="16:82" x14ac:dyDescent="0.2">
      <c r="P61" s="18" t="s">
        <v>22</v>
      </c>
      <c r="Q61" s="21">
        <v>22</v>
      </c>
      <c r="R61" s="202">
        <v>28996.27</v>
      </c>
      <c r="S61" s="204" t="s">
        <v>23</v>
      </c>
      <c r="T61" s="21">
        <v>22</v>
      </c>
      <c r="U61" s="204">
        <v>34482.14</v>
      </c>
      <c r="V61" s="18" t="s">
        <v>24</v>
      </c>
      <c r="W61" s="21">
        <v>22</v>
      </c>
      <c r="X61" s="202">
        <v>38671.440000000002</v>
      </c>
      <c r="Y61" s="18" t="s">
        <v>25</v>
      </c>
      <c r="Z61" s="21">
        <v>22</v>
      </c>
      <c r="AA61" s="202">
        <v>42687.33</v>
      </c>
      <c r="AB61" s="18" t="s">
        <v>26</v>
      </c>
      <c r="AC61" s="21">
        <v>22</v>
      </c>
      <c r="AD61" s="202">
        <v>47670</v>
      </c>
      <c r="AE61" s="18" t="s">
        <v>27</v>
      </c>
      <c r="AF61" s="21">
        <v>22</v>
      </c>
      <c r="AG61" s="202">
        <v>50694.39</v>
      </c>
      <c r="AH61" s="4" t="s">
        <v>28</v>
      </c>
      <c r="AI61" s="21">
        <v>22</v>
      </c>
      <c r="AJ61" s="201">
        <v>53793</v>
      </c>
      <c r="AK61" s="18" t="s">
        <v>29</v>
      </c>
      <c r="AL61" s="21">
        <v>22</v>
      </c>
      <c r="AM61" s="201">
        <v>59122.63</v>
      </c>
      <c r="AN61" s="205" t="s">
        <v>30</v>
      </c>
      <c r="AO61" s="21">
        <v>22</v>
      </c>
      <c r="AP61" s="206">
        <v>49610.63</v>
      </c>
      <c r="AQ61" s="18" t="s">
        <v>31</v>
      </c>
      <c r="AR61" s="21">
        <v>22</v>
      </c>
      <c r="AS61" s="202">
        <v>38619.919999999998</v>
      </c>
      <c r="AT61" s="18" t="s">
        <v>32</v>
      </c>
      <c r="AU61" s="21">
        <v>22</v>
      </c>
      <c r="AV61" s="202">
        <v>43312.04</v>
      </c>
      <c r="AW61" s="18" t="s">
        <v>33</v>
      </c>
      <c r="AX61" s="21">
        <v>22</v>
      </c>
      <c r="AY61" s="202">
        <v>45248.6</v>
      </c>
      <c r="AZ61" s="18" t="s">
        <v>34</v>
      </c>
      <c r="BA61" s="21">
        <v>22</v>
      </c>
      <c r="BB61" s="202">
        <v>50530.19</v>
      </c>
      <c r="BC61" s="18" t="s">
        <v>35</v>
      </c>
      <c r="BD61" s="21">
        <v>22</v>
      </c>
      <c r="BE61" s="202">
        <v>51708.26</v>
      </c>
      <c r="BF61" s="18" t="s">
        <v>36</v>
      </c>
      <c r="BG61" s="21">
        <v>22</v>
      </c>
      <c r="BH61" s="202">
        <v>46802.38</v>
      </c>
      <c r="BI61" s="18" t="s">
        <v>14</v>
      </c>
      <c r="BJ61" s="21">
        <v>22</v>
      </c>
      <c r="BK61" s="202">
        <v>31086.02</v>
      </c>
      <c r="BL61" s="18" t="s">
        <v>16</v>
      </c>
      <c r="BM61" s="4">
        <v>22</v>
      </c>
      <c r="BN61" s="202">
        <v>32228</v>
      </c>
      <c r="BP61" s="2"/>
      <c r="CA61"/>
      <c r="CB61"/>
      <c r="CC61"/>
      <c r="CD61"/>
    </row>
    <row r="62" spans="16:82" x14ac:dyDescent="0.2">
      <c r="P62" s="18" t="s">
        <v>22</v>
      </c>
      <c r="Q62" s="21">
        <v>23</v>
      </c>
      <c r="R62" s="202">
        <v>29246.65</v>
      </c>
      <c r="S62" s="204" t="s">
        <v>23</v>
      </c>
      <c r="T62" s="21">
        <v>23</v>
      </c>
      <c r="U62" s="204">
        <v>34804.410000000003</v>
      </c>
      <c r="V62" s="18" t="s">
        <v>24</v>
      </c>
      <c r="W62" s="21">
        <v>23</v>
      </c>
      <c r="X62" s="202">
        <v>39068.07</v>
      </c>
      <c r="Y62" s="18" t="s">
        <v>25</v>
      </c>
      <c r="Z62" s="21">
        <v>23</v>
      </c>
      <c r="AA62" s="202">
        <v>43108.75</v>
      </c>
      <c r="AB62" s="18" t="s">
        <v>26</v>
      </c>
      <c r="AC62" s="21">
        <v>23</v>
      </c>
      <c r="AD62" s="202">
        <v>47905.5</v>
      </c>
      <c r="AE62" s="18" t="s">
        <v>27</v>
      </c>
      <c r="AF62" s="21">
        <v>23</v>
      </c>
      <c r="AG62" s="202">
        <v>51066.239999999998</v>
      </c>
      <c r="AH62" s="4" t="s">
        <v>28</v>
      </c>
      <c r="AI62" s="21">
        <v>23</v>
      </c>
      <c r="AJ62" s="201">
        <v>53793</v>
      </c>
      <c r="AK62" s="18" t="s">
        <v>29</v>
      </c>
      <c r="AL62" s="21">
        <v>23</v>
      </c>
      <c r="AM62" s="201">
        <v>59122.63</v>
      </c>
      <c r="AN62" s="205" t="s">
        <v>30</v>
      </c>
      <c r="AO62" s="21">
        <v>23</v>
      </c>
      <c r="AP62" s="206">
        <v>50083.62</v>
      </c>
      <c r="AQ62" s="18" t="s">
        <v>31</v>
      </c>
      <c r="AR62" s="21">
        <v>23</v>
      </c>
      <c r="AS62" s="202">
        <v>38980.86</v>
      </c>
      <c r="AT62" s="18" t="s">
        <v>32</v>
      </c>
      <c r="AU62" s="21">
        <v>23</v>
      </c>
      <c r="AV62" s="202">
        <v>43756.27</v>
      </c>
      <c r="AW62" s="18" t="s">
        <v>33</v>
      </c>
      <c r="AX62" s="21">
        <v>23</v>
      </c>
      <c r="AY62" s="202">
        <v>45695.31</v>
      </c>
      <c r="AZ62" s="18" t="s">
        <v>34</v>
      </c>
      <c r="BA62" s="21">
        <v>23</v>
      </c>
      <c r="BB62" s="202">
        <v>50779.82</v>
      </c>
      <c r="BC62" s="18" t="s">
        <v>35</v>
      </c>
      <c r="BD62" s="21">
        <v>23</v>
      </c>
      <c r="BE62" s="202">
        <v>52087.54</v>
      </c>
      <c r="BF62" s="18" t="s">
        <v>36</v>
      </c>
      <c r="BG62" s="21">
        <v>23</v>
      </c>
      <c r="BH62" s="202">
        <v>47248.59</v>
      </c>
      <c r="BI62" s="18" t="s">
        <v>14</v>
      </c>
      <c r="BJ62" s="21">
        <v>23</v>
      </c>
      <c r="BK62" s="202">
        <v>31433.08</v>
      </c>
      <c r="BL62" s="18" t="s">
        <v>16</v>
      </c>
      <c r="BM62" s="4">
        <v>23</v>
      </c>
      <c r="BN62" s="202">
        <v>32498</v>
      </c>
      <c r="BP62" s="2"/>
      <c r="CA62"/>
      <c r="CB62"/>
      <c r="CC62"/>
      <c r="CD62"/>
    </row>
    <row r="63" spans="16:82" x14ac:dyDescent="0.2">
      <c r="P63" s="18" t="s">
        <v>22</v>
      </c>
      <c r="Q63" s="21">
        <v>24</v>
      </c>
      <c r="R63" s="202">
        <v>29497.03</v>
      </c>
      <c r="S63" s="204" t="s">
        <v>23</v>
      </c>
      <c r="T63" s="21">
        <v>24</v>
      </c>
      <c r="U63" s="204">
        <v>35126.68</v>
      </c>
      <c r="V63" s="18" t="s">
        <v>24</v>
      </c>
      <c r="W63" s="21">
        <v>24</v>
      </c>
      <c r="X63" s="202">
        <v>39365.550000000003</v>
      </c>
      <c r="Y63" s="18" t="s">
        <v>25</v>
      </c>
      <c r="Z63" s="21">
        <v>24</v>
      </c>
      <c r="AA63" s="202">
        <v>43530.17</v>
      </c>
      <c r="AB63" s="18" t="s">
        <v>26</v>
      </c>
      <c r="AC63" s="21">
        <v>24</v>
      </c>
      <c r="AD63" s="202">
        <v>48141</v>
      </c>
      <c r="AE63" s="18" t="s">
        <v>27</v>
      </c>
      <c r="AF63" s="21">
        <v>24</v>
      </c>
      <c r="AG63" s="202">
        <v>51438.09</v>
      </c>
      <c r="AH63" s="4" t="s">
        <v>28</v>
      </c>
      <c r="AI63" s="21">
        <v>24</v>
      </c>
      <c r="AJ63" s="201">
        <v>55280.37</v>
      </c>
      <c r="AK63" s="18" t="s">
        <v>29</v>
      </c>
      <c r="AL63" s="21">
        <v>24</v>
      </c>
      <c r="AM63" s="201">
        <v>60733.94</v>
      </c>
      <c r="AN63" s="205" t="s">
        <v>30</v>
      </c>
      <c r="AO63" s="21">
        <v>24</v>
      </c>
      <c r="AP63" s="206">
        <v>50556.61</v>
      </c>
      <c r="AQ63" s="18" t="s">
        <v>31</v>
      </c>
      <c r="AR63" s="21">
        <v>24</v>
      </c>
      <c r="AS63" s="202">
        <v>39341.800000000003</v>
      </c>
      <c r="AT63" s="18" t="s">
        <v>32</v>
      </c>
      <c r="AU63" s="21">
        <v>24</v>
      </c>
      <c r="AV63" s="202">
        <v>44089.440000000002</v>
      </c>
      <c r="AW63" s="18" t="s">
        <v>33</v>
      </c>
      <c r="AX63" s="21">
        <v>24</v>
      </c>
      <c r="AY63" s="202">
        <v>46142.02</v>
      </c>
      <c r="AZ63" s="18" t="s">
        <v>34</v>
      </c>
      <c r="BA63" s="21">
        <v>24</v>
      </c>
      <c r="BB63" s="202">
        <v>51029.45</v>
      </c>
      <c r="BC63" s="18" t="s">
        <v>35</v>
      </c>
      <c r="BD63" s="21">
        <v>24</v>
      </c>
      <c r="BE63" s="202">
        <v>52466.82</v>
      </c>
      <c r="BF63" s="18" t="s">
        <v>36</v>
      </c>
      <c r="BG63" s="21">
        <v>24</v>
      </c>
      <c r="BH63" s="202">
        <v>47694.8</v>
      </c>
      <c r="BI63" s="18" t="s">
        <v>14</v>
      </c>
      <c r="BJ63" s="21">
        <v>24</v>
      </c>
      <c r="BK63" s="202">
        <v>31780.14</v>
      </c>
      <c r="BL63" s="18" t="s">
        <v>16</v>
      </c>
      <c r="BM63" s="4">
        <v>24</v>
      </c>
      <c r="BN63" s="202">
        <v>32768</v>
      </c>
      <c r="BP63" s="2"/>
      <c r="CA63"/>
      <c r="CB63"/>
      <c r="CC63"/>
      <c r="CD63"/>
    </row>
    <row r="64" spans="16:82" x14ac:dyDescent="0.2">
      <c r="P64" s="18" t="s">
        <v>22</v>
      </c>
      <c r="Q64" s="21">
        <v>25</v>
      </c>
      <c r="R64" s="202">
        <v>29747.41</v>
      </c>
      <c r="S64" s="204" t="s">
        <v>23</v>
      </c>
      <c r="T64" s="21">
        <v>25</v>
      </c>
      <c r="U64" s="204">
        <v>35448.949999999997</v>
      </c>
      <c r="V64" s="18" t="s">
        <v>24</v>
      </c>
      <c r="W64" s="21">
        <v>25</v>
      </c>
      <c r="X64" s="202">
        <v>39663.03</v>
      </c>
      <c r="Y64" s="18" t="s">
        <v>25</v>
      </c>
      <c r="Z64" s="21">
        <v>25</v>
      </c>
      <c r="AA64" s="202">
        <v>43951.59</v>
      </c>
      <c r="AB64" s="18" t="s">
        <v>26</v>
      </c>
      <c r="AC64" s="21">
        <v>25</v>
      </c>
      <c r="AD64" s="202">
        <v>48141</v>
      </c>
      <c r="AE64" s="18" t="s">
        <v>27</v>
      </c>
      <c r="AF64" s="21">
        <v>25</v>
      </c>
      <c r="AG64" s="202">
        <v>51438.09</v>
      </c>
      <c r="AH64" s="4" t="s">
        <v>28</v>
      </c>
      <c r="AI64" s="21">
        <v>25</v>
      </c>
      <c r="AJ64" s="201">
        <v>55280.37</v>
      </c>
      <c r="AK64" s="18" t="s">
        <v>29</v>
      </c>
      <c r="AL64" s="21">
        <v>25</v>
      </c>
      <c r="AM64" s="201">
        <v>60733.94</v>
      </c>
      <c r="AN64" s="205" t="s">
        <v>30</v>
      </c>
      <c r="AO64" s="21">
        <v>25</v>
      </c>
      <c r="AP64" s="206">
        <v>51029.599999999999</v>
      </c>
      <c r="AQ64" s="18" t="s">
        <v>31</v>
      </c>
      <c r="AR64" s="21">
        <v>25</v>
      </c>
      <c r="AS64" s="202">
        <v>39702.74</v>
      </c>
      <c r="AT64" s="18" t="s">
        <v>32</v>
      </c>
      <c r="AU64" s="21">
        <v>25</v>
      </c>
      <c r="AV64" s="202">
        <v>44422.61</v>
      </c>
      <c r="AW64" s="18" t="s">
        <v>33</v>
      </c>
      <c r="AX64" s="21">
        <v>25</v>
      </c>
      <c r="AY64" s="202">
        <v>46588.73</v>
      </c>
      <c r="AZ64" s="18" t="s">
        <v>34</v>
      </c>
      <c r="BA64" s="21">
        <v>25</v>
      </c>
      <c r="BB64" s="202">
        <v>51029.45</v>
      </c>
      <c r="BC64" s="18" t="s">
        <v>35</v>
      </c>
      <c r="BD64" s="21">
        <v>25</v>
      </c>
      <c r="BE64" s="202">
        <v>52466.82</v>
      </c>
      <c r="BF64" s="18" t="s">
        <v>36</v>
      </c>
      <c r="BG64" s="21">
        <v>25</v>
      </c>
      <c r="BH64" s="202">
        <v>48141.01</v>
      </c>
      <c r="BI64" s="18" t="s">
        <v>14</v>
      </c>
      <c r="BJ64" s="21">
        <v>25</v>
      </c>
      <c r="BK64" s="202">
        <v>32127.200000000001</v>
      </c>
      <c r="BL64" s="18" t="s">
        <v>16</v>
      </c>
      <c r="BM64" s="4">
        <v>25</v>
      </c>
      <c r="BN64" s="202">
        <v>33037</v>
      </c>
      <c r="BP64" s="2"/>
      <c r="CA64"/>
      <c r="CB64"/>
      <c r="CC64"/>
      <c r="CD64"/>
    </row>
    <row r="65" spans="16:84" x14ac:dyDescent="0.2">
      <c r="P65" s="18" t="s">
        <v>22</v>
      </c>
      <c r="Q65" s="21"/>
      <c r="R65" s="202">
        <v>29747.41</v>
      </c>
      <c r="S65" s="204" t="s">
        <v>23</v>
      </c>
      <c r="T65" s="204"/>
      <c r="U65" s="204">
        <v>35448.949999999997</v>
      </c>
      <c r="V65" s="18" t="s">
        <v>24</v>
      </c>
      <c r="W65" s="46"/>
      <c r="X65" s="202">
        <v>39663.03</v>
      </c>
      <c r="Y65" s="18" t="s">
        <v>25</v>
      </c>
      <c r="Z65" s="46"/>
      <c r="AA65" s="202">
        <v>43951.59</v>
      </c>
      <c r="AB65" s="18" t="s">
        <v>26</v>
      </c>
      <c r="AC65" s="46"/>
      <c r="AD65" s="202">
        <v>48141</v>
      </c>
      <c r="AE65" s="18" t="s">
        <v>27</v>
      </c>
      <c r="AF65" s="46"/>
      <c r="AG65" s="202">
        <v>51438.09</v>
      </c>
      <c r="AH65" s="4" t="s">
        <v>28</v>
      </c>
      <c r="AI65" s="21">
        <v>26</v>
      </c>
      <c r="AJ65" s="201">
        <v>56767.74</v>
      </c>
      <c r="AK65" s="18" t="s">
        <v>29</v>
      </c>
      <c r="AL65" s="21">
        <v>26</v>
      </c>
      <c r="AM65" s="201">
        <v>62345.25</v>
      </c>
      <c r="AN65" s="205" t="s">
        <v>30</v>
      </c>
      <c r="AO65" s="21"/>
      <c r="AP65" s="206">
        <v>51029.599999999999</v>
      </c>
      <c r="AQ65" s="18" t="s">
        <v>31</v>
      </c>
      <c r="AR65" s="21"/>
      <c r="AS65" s="202">
        <v>39702.74</v>
      </c>
      <c r="AT65" s="18" t="s">
        <v>32</v>
      </c>
      <c r="AU65" s="21"/>
      <c r="AV65" s="202">
        <v>44422.61</v>
      </c>
      <c r="AW65" s="18" t="s">
        <v>33</v>
      </c>
      <c r="AX65" s="21"/>
      <c r="AY65" s="202">
        <v>46588.73</v>
      </c>
      <c r="AZ65" s="18" t="s">
        <v>34</v>
      </c>
      <c r="BA65" s="21"/>
      <c r="BB65" s="202">
        <v>51029.45</v>
      </c>
      <c r="BC65" s="18" t="s">
        <v>35</v>
      </c>
      <c r="BD65" s="21"/>
      <c r="BE65" s="202">
        <v>52466.82</v>
      </c>
      <c r="BF65" s="18" t="s">
        <v>36</v>
      </c>
      <c r="BG65" s="21"/>
      <c r="BH65" s="202">
        <v>48141.01</v>
      </c>
      <c r="BI65" s="18" t="s">
        <v>14</v>
      </c>
      <c r="BJ65" s="21">
        <v>26</v>
      </c>
      <c r="BK65" s="202">
        <v>32127.200000000001</v>
      </c>
      <c r="BL65" s="18" t="s">
        <v>16</v>
      </c>
      <c r="BM65" s="4">
        <v>26</v>
      </c>
      <c r="BN65" s="202">
        <v>33307</v>
      </c>
      <c r="BP65" s="2"/>
      <c r="CA65"/>
      <c r="CB65"/>
      <c r="CC65"/>
      <c r="CD65"/>
    </row>
    <row r="66" spans="16:84" x14ac:dyDescent="0.2">
      <c r="P66" s="18"/>
      <c r="Q66" s="21"/>
      <c r="R66" s="125"/>
      <c r="S66" s="21"/>
      <c r="T66" s="21"/>
      <c r="U66" s="21"/>
      <c r="V66" s="45"/>
      <c r="W66" s="46"/>
      <c r="X66" s="48"/>
      <c r="Y66" s="45"/>
      <c r="Z66" s="46"/>
      <c r="AA66" s="48"/>
      <c r="AB66" s="45"/>
      <c r="AC66" s="46"/>
      <c r="AD66" s="48"/>
      <c r="AE66" s="45"/>
      <c r="AF66" s="46"/>
      <c r="AG66" s="48"/>
      <c r="AH66" s="4" t="s">
        <v>28</v>
      </c>
      <c r="AI66" s="4">
        <v>27</v>
      </c>
      <c r="AJ66" s="201">
        <v>56767.74</v>
      </c>
      <c r="AK66" s="18" t="s">
        <v>29</v>
      </c>
      <c r="AL66" s="4">
        <v>27</v>
      </c>
      <c r="AM66" s="201">
        <v>62345.25</v>
      </c>
      <c r="AN66" s="18"/>
      <c r="AO66" s="21"/>
      <c r="AP66" s="125"/>
      <c r="AQ66" s="18"/>
      <c r="AR66" s="21"/>
      <c r="AS66" s="125"/>
      <c r="AT66" s="18"/>
      <c r="AU66" s="21"/>
      <c r="AV66" s="125"/>
      <c r="AW66" s="18"/>
      <c r="AX66" s="21"/>
      <c r="AY66" s="125"/>
      <c r="AZ66" s="18"/>
      <c r="BA66" s="21"/>
      <c r="BB66" s="125"/>
      <c r="BC66" s="18"/>
      <c r="BD66" s="21"/>
      <c r="BE66" s="125"/>
      <c r="BF66" s="18"/>
      <c r="BG66" s="21"/>
      <c r="BH66" s="125"/>
      <c r="BI66" s="18" t="s">
        <v>14</v>
      </c>
      <c r="BJ66" s="21">
        <v>27</v>
      </c>
      <c r="BK66" s="202">
        <v>32625.599999999999</v>
      </c>
      <c r="BL66" s="18" t="s">
        <v>16</v>
      </c>
      <c r="BM66" s="4">
        <v>27</v>
      </c>
      <c r="BN66" s="202">
        <v>33577</v>
      </c>
      <c r="BP66" s="2"/>
      <c r="CA66"/>
      <c r="CB66"/>
      <c r="CC66"/>
      <c r="CD66"/>
    </row>
    <row r="67" spans="16:84" x14ac:dyDescent="0.2">
      <c r="P67" s="19"/>
      <c r="Q67" s="20"/>
      <c r="R67" s="119"/>
      <c r="S67" s="20"/>
      <c r="T67" s="20"/>
      <c r="U67" s="20"/>
      <c r="V67" s="53"/>
      <c r="W67" s="54"/>
      <c r="X67" s="55"/>
      <c r="Y67" s="53"/>
      <c r="Z67" s="54"/>
      <c r="AA67" s="55"/>
      <c r="AB67" s="53"/>
      <c r="AC67" s="54"/>
      <c r="AD67" s="55"/>
      <c r="AE67" s="53"/>
      <c r="AF67" s="54"/>
      <c r="AG67" s="55"/>
      <c r="AH67" s="4" t="s">
        <v>28</v>
      </c>
      <c r="AI67" s="4">
        <v>28</v>
      </c>
      <c r="AJ67" s="201">
        <v>58255.11</v>
      </c>
      <c r="AK67" s="18" t="s">
        <v>29</v>
      </c>
      <c r="AL67" s="4">
        <v>28</v>
      </c>
      <c r="AM67" s="201">
        <v>63956.56</v>
      </c>
      <c r="AN67" s="19"/>
      <c r="AO67" s="20"/>
      <c r="AP67" s="119"/>
      <c r="AQ67" s="19"/>
      <c r="AR67" s="20"/>
      <c r="AS67" s="119"/>
      <c r="AT67" s="19"/>
      <c r="AU67" s="20"/>
      <c r="AV67" s="119"/>
      <c r="AW67" s="19"/>
      <c r="AX67" s="20"/>
      <c r="AY67" s="119"/>
      <c r="AZ67" s="19"/>
      <c r="BA67" s="20"/>
      <c r="BB67" s="119"/>
      <c r="BC67" s="19"/>
      <c r="BD67" s="20"/>
      <c r="BE67" s="119"/>
      <c r="BF67" s="19"/>
      <c r="BG67" s="20"/>
      <c r="BH67" s="119"/>
      <c r="BI67" s="18" t="s">
        <v>14</v>
      </c>
      <c r="BJ67" s="21">
        <v>28</v>
      </c>
      <c r="BK67" s="202">
        <v>32625.599999999999</v>
      </c>
      <c r="BL67" s="18" t="s">
        <v>16</v>
      </c>
      <c r="BM67" s="4">
        <v>28</v>
      </c>
      <c r="BN67" s="202">
        <v>33846</v>
      </c>
      <c r="BP67" s="2"/>
      <c r="CA67"/>
      <c r="CB67"/>
      <c r="CC67"/>
      <c r="CD67"/>
    </row>
    <row r="68" spans="16:84" x14ac:dyDescent="0.2">
      <c r="AH68" s="18" t="s">
        <v>28</v>
      </c>
      <c r="AI68" s="21"/>
      <c r="AJ68" s="201">
        <v>58255.11</v>
      </c>
      <c r="AK68" s="18" t="s">
        <v>29</v>
      </c>
      <c r="AL68" s="21"/>
      <c r="AM68" s="201">
        <v>63956.56</v>
      </c>
      <c r="BI68" s="19" t="s">
        <v>14</v>
      </c>
      <c r="BJ68" s="20">
        <v>29</v>
      </c>
      <c r="BK68" s="429">
        <v>33124</v>
      </c>
      <c r="BL68" s="19" t="s">
        <v>16</v>
      </c>
      <c r="BM68" s="20">
        <v>29</v>
      </c>
      <c r="BN68" s="429">
        <v>34116</v>
      </c>
      <c r="BP68" s="2"/>
      <c r="CA68"/>
      <c r="CB68"/>
      <c r="CC68"/>
      <c r="CD68"/>
    </row>
    <row r="69" spans="16:84" x14ac:dyDescent="0.2">
      <c r="AH69" s="19"/>
      <c r="AI69" s="20"/>
      <c r="AJ69" s="20"/>
      <c r="AK69" s="19"/>
      <c r="AL69" s="20"/>
      <c r="AM69" s="119"/>
      <c r="CE69" s="2"/>
      <c r="CF69" s="2"/>
    </row>
    <row r="70" spans="16:84" x14ac:dyDescent="0.2">
      <c r="CE70" s="2"/>
      <c r="CF70" s="2"/>
    </row>
    <row r="71" spans="16:84" x14ac:dyDescent="0.2">
      <c r="P71" s="4"/>
      <c r="Q71" s="4"/>
      <c r="R71" s="4"/>
      <c r="CE71" s="2"/>
      <c r="CF71" s="2"/>
    </row>
    <row r="72" spans="16:84" x14ac:dyDescent="0.2">
      <c r="P72" s="4"/>
      <c r="Q72" s="4"/>
      <c r="R72" s="4"/>
      <c r="CE72" s="2"/>
      <c r="CF72" s="2"/>
    </row>
    <row r="73" spans="16:84" x14ac:dyDescent="0.2">
      <c r="P73" s="4"/>
      <c r="Q73" s="4"/>
      <c r="R73" s="4"/>
      <c r="CE73" s="2"/>
      <c r="CF73" s="2"/>
    </row>
    <row r="74" spans="16:84" x14ac:dyDescent="0.2">
      <c r="P74" s="4"/>
      <c r="Q74" s="4"/>
      <c r="R74" s="4"/>
      <c r="CE74" s="2"/>
      <c r="CF74" s="2"/>
    </row>
    <row r="75" spans="16:84" x14ac:dyDescent="0.2">
      <c r="P75" s="4"/>
      <c r="Q75" s="4"/>
      <c r="R75" s="4"/>
      <c r="CE75" s="2"/>
      <c r="CF75" s="2"/>
    </row>
    <row r="76" spans="16:84" x14ac:dyDescent="0.2">
      <c r="P76" s="4"/>
      <c r="Q76" s="4"/>
      <c r="R76" s="4"/>
      <c r="CE76" s="2"/>
      <c r="CF76" s="2"/>
    </row>
    <row r="77" spans="16:84" x14ac:dyDescent="0.2">
      <c r="P77" s="4"/>
      <c r="Q77" s="4"/>
      <c r="R77" s="4"/>
      <c r="CE77" s="2"/>
      <c r="CF77" s="2"/>
    </row>
    <row r="78" spans="16:84" x14ac:dyDescent="0.2">
      <c r="P78" s="4"/>
      <c r="Q78" s="4"/>
      <c r="R78" s="4"/>
      <c r="CE78" s="2"/>
      <c r="CF78" s="2"/>
    </row>
    <row r="79" spans="16:84" x14ac:dyDescent="0.2">
      <c r="P79" s="4"/>
      <c r="Q79" s="4"/>
      <c r="R79" s="4"/>
    </row>
    <row r="80" spans="16:84" x14ac:dyDescent="0.2">
      <c r="P80" s="4"/>
      <c r="Q80" s="4"/>
      <c r="R80" s="4"/>
    </row>
    <row r="81" spans="16:18" x14ac:dyDescent="0.2">
      <c r="P81" s="4"/>
      <c r="Q81" s="4"/>
      <c r="R81" s="4"/>
    </row>
    <row r="82" spans="16:18" x14ac:dyDescent="0.2">
      <c r="P82" s="4"/>
      <c r="Q82" s="4"/>
      <c r="R82" s="4"/>
    </row>
    <row r="83" spans="16:18" x14ac:dyDescent="0.2">
      <c r="P83" s="4"/>
      <c r="Q83" s="4"/>
      <c r="R83" s="4"/>
    </row>
    <row r="84" spans="16:18" x14ac:dyDescent="0.2">
      <c r="P84" s="4"/>
      <c r="Q84" s="4"/>
      <c r="R84" s="4"/>
    </row>
    <row r="85" spans="16:18" x14ac:dyDescent="0.2">
      <c r="P85" s="4"/>
      <c r="Q85" s="4"/>
      <c r="R85" s="4"/>
    </row>
    <row r="86" spans="16:18" x14ac:dyDescent="0.2">
      <c r="P86" s="4"/>
      <c r="Q86" s="4"/>
      <c r="R86" s="4"/>
    </row>
    <row r="87" spans="16:18" x14ac:dyDescent="0.2">
      <c r="P87" s="4"/>
      <c r="Q87" s="4"/>
      <c r="R87" s="4"/>
    </row>
    <row r="88" spans="16:18" x14ac:dyDescent="0.2">
      <c r="P88" s="4"/>
      <c r="Q88" s="4"/>
      <c r="R88" s="4"/>
    </row>
    <row r="89" spans="16:18" x14ac:dyDescent="0.2">
      <c r="P89" s="4"/>
      <c r="Q89" s="4"/>
      <c r="R89" s="4"/>
    </row>
    <row r="90" spans="16:18" x14ac:dyDescent="0.2">
      <c r="P90" s="4"/>
      <c r="Q90" s="4"/>
      <c r="R90" s="4"/>
    </row>
    <row r="91" spans="16:18" x14ac:dyDescent="0.2">
      <c r="P91" s="4"/>
      <c r="Q91" s="4"/>
      <c r="R91" s="4"/>
    </row>
    <row r="92" spans="16:18" x14ac:dyDescent="0.2">
      <c r="P92" s="4"/>
      <c r="Q92" s="4"/>
      <c r="R92" s="4"/>
    </row>
    <row r="93" spans="16:18" x14ac:dyDescent="0.2">
      <c r="P93" s="4"/>
      <c r="Q93" s="4"/>
      <c r="R93" s="4"/>
    </row>
    <row r="94" spans="16:18" x14ac:dyDescent="0.2">
      <c r="P94" s="4"/>
      <c r="Q94" s="4"/>
      <c r="R94" s="4"/>
    </row>
    <row r="95" spans="16:18" x14ac:dyDescent="0.2">
      <c r="P95" s="4"/>
      <c r="Q95" s="4"/>
      <c r="R95" s="4"/>
    </row>
    <row r="96" spans="16:18" x14ac:dyDescent="0.2">
      <c r="P96" s="4"/>
      <c r="Q96" s="4"/>
      <c r="R96" s="4"/>
    </row>
    <row r="97" spans="16:18" x14ac:dyDescent="0.2">
      <c r="P97" s="4"/>
      <c r="Q97" s="4"/>
      <c r="R97" s="4"/>
    </row>
    <row r="98" spans="16:18" x14ac:dyDescent="0.2">
      <c r="P98" s="4"/>
      <c r="Q98" s="4"/>
      <c r="R98" s="4"/>
    </row>
    <row r="99" spans="16:18" x14ac:dyDescent="0.2">
      <c r="P99" s="4"/>
      <c r="Q99" s="4"/>
      <c r="R99" s="4"/>
    </row>
    <row r="100" spans="16:18" x14ac:dyDescent="0.2">
      <c r="P100" s="4"/>
      <c r="Q100" s="4"/>
      <c r="R100" s="4"/>
    </row>
    <row r="101" spans="16:18" x14ac:dyDescent="0.2">
      <c r="P101" s="4"/>
      <c r="Q101" s="4"/>
      <c r="R101" s="4"/>
    </row>
    <row r="102" spans="16:18" x14ac:dyDescent="0.2">
      <c r="P102" s="4"/>
      <c r="Q102" s="4"/>
      <c r="R102" s="4"/>
    </row>
    <row r="103" spans="16:18" x14ac:dyDescent="0.2">
      <c r="P103" s="4"/>
      <c r="Q103" s="4"/>
      <c r="R103" s="4"/>
    </row>
    <row r="104" spans="16:18" x14ac:dyDescent="0.2">
      <c r="P104" s="4"/>
      <c r="Q104" s="4"/>
      <c r="R104" s="4"/>
    </row>
    <row r="105" spans="16:18" x14ac:dyDescent="0.2">
      <c r="P105" s="4"/>
      <c r="Q105" s="4"/>
      <c r="R105" s="4"/>
    </row>
    <row r="106" spans="16:18" x14ac:dyDescent="0.2">
      <c r="P106" s="4"/>
      <c r="Q106" s="4"/>
      <c r="R106" s="4"/>
    </row>
    <row r="107" spans="16:18" x14ac:dyDescent="0.2">
      <c r="P107" s="4"/>
      <c r="Q107" s="4"/>
      <c r="R107" s="4"/>
    </row>
    <row r="108" spans="16:18" x14ac:dyDescent="0.2">
      <c r="P108" s="4"/>
      <c r="Q108" s="4"/>
      <c r="R108" s="4"/>
    </row>
    <row r="109" spans="16:18" x14ac:dyDescent="0.2">
      <c r="P109" s="4"/>
      <c r="Q109" s="4"/>
      <c r="R109" s="4"/>
    </row>
    <row r="110" spans="16:18" x14ac:dyDescent="0.2">
      <c r="P110" s="4"/>
      <c r="Q110" s="4"/>
      <c r="R110" s="4"/>
    </row>
    <row r="111" spans="16:18" x14ac:dyDescent="0.2">
      <c r="P111" s="4"/>
      <c r="Q111" s="4"/>
      <c r="R111" s="4"/>
    </row>
    <row r="112" spans="16:18" x14ac:dyDescent="0.2">
      <c r="P112" s="4"/>
      <c r="Q112" s="4"/>
      <c r="R112" s="4"/>
    </row>
    <row r="113" spans="16:18" x14ac:dyDescent="0.2">
      <c r="P113" s="4"/>
      <c r="Q113" s="4"/>
      <c r="R113" s="4"/>
    </row>
    <row r="114" spans="16:18" x14ac:dyDescent="0.2">
      <c r="P114" s="4"/>
      <c r="Q114" s="4"/>
      <c r="R114" s="4"/>
    </row>
    <row r="115" spans="16:18" x14ac:dyDescent="0.2">
      <c r="P115" s="4"/>
      <c r="Q115" s="4"/>
      <c r="R115" s="4"/>
    </row>
    <row r="116" spans="16:18" x14ac:dyDescent="0.2">
      <c r="P116" s="4"/>
      <c r="Q116" s="4"/>
      <c r="R116" s="4"/>
    </row>
    <row r="117" spans="16:18" x14ac:dyDescent="0.2">
      <c r="P117" s="4"/>
      <c r="Q117" s="4"/>
      <c r="R117" s="4"/>
    </row>
    <row r="118" spans="16:18" x14ac:dyDescent="0.2">
      <c r="P118" s="4"/>
      <c r="Q118" s="4"/>
      <c r="R118" s="4"/>
    </row>
    <row r="119" spans="16:18" x14ac:dyDescent="0.2">
      <c r="P119" s="4"/>
      <c r="Q119" s="4"/>
      <c r="R119" s="4"/>
    </row>
    <row r="120" spans="16:18" x14ac:dyDescent="0.2">
      <c r="P120" s="4"/>
      <c r="Q120" s="4"/>
      <c r="R120" s="4"/>
    </row>
  </sheetData>
  <sheetProtection algorithmName="SHA-512" hashValue="x9xm2m/M92vptuiOk49XByYBMsG1c75NkQvwBE957PMkt/obZ23af5JQmJJji5Bp/r6+NIwu2IopDVCv63CNIQ==" saltValue="vciX75WyZ/P5K04KSc++kg==" spinCount="100000" sheet="1" objects="1" scenarios="1"/>
  <mergeCells count="4">
    <mergeCell ref="BI37:BK37"/>
    <mergeCell ref="BI36:BK36"/>
    <mergeCell ref="BL36:BN36"/>
    <mergeCell ref="BL37:BN3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pageSetUpPr fitToPage="1"/>
  </sheetPr>
  <dimension ref="A1:BB62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570312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7" width="5.7109375" style="5" customWidth="1"/>
    <col min="28" max="28" width="14" style="2" hidden="1" customWidth="1"/>
    <col min="29" max="29" width="4.8554687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3" width="10.42578125" style="2" hidden="1" customWidth="1"/>
    <col min="44" max="44" width="12" style="2" hidden="1" customWidth="1"/>
    <col min="45" max="46" width="10.42578125" style="2" hidden="1" customWidth="1"/>
    <col min="47" max="47" width="4.28515625" style="2" hidden="1" customWidth="1"/>
    <col min="48" max="48" width="7.7109375" style="39" hidden="1" customWidth="1"/>
    <col min="49" max="49" width="6.42578125" style="39" hidden="1" customWidth="1"/>
    <col min="50" max="50" width="5.7109375" style="2" hidden="1" customWidth="1"/>
    <col min="51" max="51" width="3" style="2" hidden="1" customWidth="1"/>
    <col min="52" max="52" width="5.28515625" style="4" hidden="1" customWidth="1"/>
    <col min="53" max="53" width="6.42578125" style="4" hidden="1" customWidth="1"/>
    <col min="54" max="54" width="51.7109375" customWidth="1"/>
    <col min="55" max="55" width="0" hidden="1" customWidth="1"/>
  </cols>
  <sheetData>
    <row r="1" spans="2:54" x14ac:dyDescent="0.2">
      <c r="C1" s="307"/>
      <c r="H1" s="248"/>
      <c r="X1" s="178"/>
      <c r="Y1" s="179"/>
      <c r="Z1" s="179" t="s">
        <v>110</v>
      </c>
      <c r="AA1" s="180"/>
      <c r="AD1" s="96">
        <v>0.29166666666666669</v>
      </c>
      <c r="AQ1" s="39" t="s">
        <v>111</v>
      </c>
      <c r="AR1" s="39" t="s">
        <v>112</v>
      </c>
      <c r="AS1" s="39" t="s">
        <v>113</v>
      </c>
      <c r="AT1" s="39" t="s">
        <v>114</v>
      </c>
      <c r="AU1" s="39"/>
      <c r="BB1" s="2"/>
    </row>
    <row r="2" spans="2:54" x14ac:dyDescent="0.2">
      <c r="C2" s="246"/>
      <c r="M2" s="136"/>
      <c r="N2" s="137"/>
      <c r="O2" s="137"/>
      <c r="P2" s="137"/>
      <c r="Q2" s="137"/>
      <c r="R2" s="137"/>
      <c r="S2" s="137"/>
      <c r="T2" s="137"/>
      <c r="U2" s="138"/>
      <c r="V2" s="139"/>
      <c r="X2" s="181" t="s">
        <v>115</v>
      </c>
      <c r="Y2" s="182"/>
      <c r="Z2" s="182" t="s">
        <v>116</v>
      </c>
      <c r="AA2" s="183"/>
      <c r="AC2" s="112"/>
      <c r="AD2" s="96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0"/>
      <c r="M3" s="140"/>
      <c r="N3" s="141"/>
      <c r="O3" s="141"/>
      <c r="P3" s="141"/>
      <c r="Q3" s="141"/>
      <c r="R3" s="141"/>
      <c r="S3" s="141"/>
      <c r="T3" s="141"/>
      <c r="U3" s="142"/>
      <c r="V3" s="143"/>
      <c r="X3" s="253" t="s">
        <v>117</v>
      </c>
      <c r="Y3" s="184"/>
      <c r="Z3" s="253"/>
      <c r="AA3" s="185"/>
      <c r="AD3" s="96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B4" s="277" t="s">
        <v>694</v>
      </c>
      <c r="C4" s="465" t="str">
        <f>Données!F6</f>
        <v>Memento 2022</v>
      </c>
      <c r="G4" s="4" t="s">
        <v>118</v>
      </c>
      <c r="I4" s="4"/>
      <c r="J4" s="4"/>
      <c r="K4" s="4"/>
      <c r="L4" s="4"/>
      <c r="M4" s="386">
        <f>Juil!$G$55</f>
        <v>0</v>
      </c>
      <c r="P4" s="4" t="s">
        <v>119</v>
      </c>
      <c r="Q4" s="4"/>
      <c r="R4" s="4"/>
      <c r="S4" s="4"/>
      <c r="T4" s="4"/>
      <c r="U4" s="199">
        <f>IF(Juil!$H$48="x",Juil!$U$4,Juil!$G$51)</f>
        <v>0</v>
      </c>
      <c r="AV4" s="84"/>
      <c r="AW4" s="84" t="s">
        <v>120</v>
      </c>
      <c r="AX4" s="113">
        <v>0</v>
      </c>
      <c r="AY4" s="113"/>
      <c r="BB4" s="2"/>
    </row>
    <row r="5" spans="2:54" x14ac:dyDescent="0.2">
      <c r="B5" s="81"/>
      <c r="C5" s="82"/>
      <c r="D5" s="83" t="s">
        <v>122</v>
      </c>
      <c r="E5" s="83" t="s">
        <v>123</v>
      </c>
      <c r="F5" s="90" t="s">
        <v>124</v>
      </c>
      <c r="G5" s="91"/>
      <c r="H5" s="90" t="s">
        <v>124</v>
      </c>
      <c r="I5" s="91"/>
      <c r="J5" s="90" t="s">
        <v>124</v>
      </c>
      <c r="K5" s="91"/>
      <c r="L5" s="90" t="s">
        <v>125</v>
      </c>
      <c r="M5" s="91"/>
      <c r="N5" s="84" t="s">
        <v>126</v>
      </c>
      <c r="O5" s="93" t="s">
        <v>127</v>
      </c>
      <c r="P5" s="92"/>
      <c r="Q5" s="90" t="s">
        <v>128</v>
      </c>
      <c r="R5" s="134"/>
      <c r="S5" s="134"/>
      <c r="T5" s="91"/>
      <c r="U5" s="84" t="s">
        <v>129</v>
      </c>
      <c r="V5" s="84" t="s">
        <v>130</v>
      </c>
      <c r="W5" s="84" t="s">
        <v>129</v>
      </c>
      <c r="X5" s="84" t="s">
        <v>129</v>
      </c>
      <c r="Y5" s="300"/>
      <c r="Z5" s="84" t="s">
        <v>131</v>
      </c>
      <c r="AA5" s="301" t="s">
        <v>132</v>
      </c>
      <c r="AB5" s="8" t="s">
        <v>133</v>
      </c>
      <c r="AC5" s="8" t="s">
        <v>134</v>
      </c>
      <c r="AD5" s="8" t="s">
        <v>135</v>
      </c>
      <c r="AE5" s="8" t="s">
        <v>136</v>
      </c>
      <c r="AF5" s="8" t="s">
        <v>137</v>
      </c>
      <c r="AG5" s="8" t="s">
        <v>137</v>
      </c>
      <c r="AH5" s="8" t="s">
        <v>138</v>
      </c>
      <c r="AI5" s="8" t="s">
        <v>139</v>
      </c>
      <c r="AO5" s="4"/>
      <c r="AT5" s="4" t="s">
        <v>140</v>
      </c>
      <c r="AU5" s="4"/>
      <c r="AV5" s="231" t="s">
        <v>141</v>
      </c>
      <c r="AW5" s="231" t="s">
        <v>142</v>
      </c>
      <c r="AX5" s="84" t="s">
        <v>126</v>
      </c>
      <c r="AY5" s="250"/>
      <c r="BB5" s="4"/>
    </row>
    <row r="6" spans="2:54" s="46" customFormat="1" x14ac:dyDescent="0.2">
      <c r="B6" s="85" t="s">
        <v>143</v>
      </c>
      <c r="C6" s="86" t="s">
        <v>144</v>
      </c>
      <c r="D6" s="87" t="s">
        <v>44</v>
      </c>
      <c r="E6" s="87" t="s">
        <v>145</v>
      </c>
      <c r="F6" s="86" t="s">
        <v>44</v>
      </c>
      <c r="G6" s="86" t="s">
        <v>45</v>
      </c>
      <c r="H6" s="86" t="s">
        <v>44</v>
      </c>
      <c r="I6" s="86" t="s">
        <v>45</v>
      </c>
      <c r="J6" s="86" t="s">
        <v>44</v>
      </c>
      <c r="K6" s="86" t="s">
        <v>45</v>
      </c>
      <c r="L6" s="86" t="s">
        <v>146</v>
      </c>
      <c r="M6" s="86" t="s">
        <v>147</v>
      </c>
      <c r="N6" s="86" t="s">
        <v>148</v>
      </c>
      <c r="O6" s="94" t="s">
        <v>149</v>
      </c>
      <c r="P6" s="95"/>
      <c r="Q6" s="357" t="s">
        <v>150</v>
      </c>
      <c r="R6" s="357" t="s">
        <v>151</v>
      </c>
      <c r="S6" s="357" t="s">
        <v>152</v>
      </c>
      <c r="T6" s="357" t="s">
        <v>153</v>
      </c>
      <c r="U6" s="176" t="s">
        <v>154</v>
      </c>
      <c r="V6" s="86" t="s">
        <v>155</v>
      </c>
      <c r="W6" s="86" t="s">
        <v>156</v>
      </c>
      <c r="X6" s="195" t="s">
        <v>157</v>
      </c>
      <c r="Y6" s="88" t="s">
        <v>131</v>
      </c>
      <c r="Z6" s="86" t="s">
        <v>158</v>
      </c>
      <c r="AA6" s="302" t="s">
        <v>159</v>
      </c>
      <c r="AB6" s="9" t="s">
        <v>160</v>
      </c>
      <c r="AC6" s="9" t="s">
        <v>160</v>
      </c>
      <c r="AD6" s="9" t="s">
        <v>137</v>
      </c>
      <c r="AE6" s="9" t="s">
        <v>161</v>
      </c>
      <c r="AF6" s="9" t="s">
        <v>156</v>
      </c>
      <c r="AG6" s="278" t="s">
        <v>157</v>
      </c>
      <c r="AH6" s="8" t="s">
        <v>137</v>
      </c>
      <c r="AI6" s="8" t="s">
        <v>162</v>
      </c>
      <c r="AJ6" s="56" t="s">
        <v>163</v>
      </c>
      <c r="AK6" s="11" t="s">
        <v>164</v>
      </c>
      <c r="AL6" s="101" t="s">
        <v>165</v>
      </c>
      <c r="AM6" s="10" t="s">
        <v>166</v>
      </c>
      <c r="AN6" s="10" t="s">
        <v>167</v>
      </c>
      <c r="AO6" s="10"/>
      <c r="AP6" s="11" t="s">
        <v>168</v>
      </c>
      <c r="AQ6" s="11" t="s">
        <v>169</v>
      </c>
      <c r="AR6" s="11" t="s">
        <v>170</v>
      </c>
      <c r="AS6" s="11" t="s">
        <v>171</v>
      </c>
      <c r="AT6" s="10" t="s">
        <v>166</v>
      </c>
      <c r="AU6" s="10" t="s">
        <v>172</v>
      </c>
      <c r="AV6" s="232" t="s">
        <v>173</v>
      </c>
      <c r="AW6" s="232" t="s">
        <v>174</v>
      </c>
      <c r="AX6" s="86" t="s">
        <v>148</v>
      </c>
      <c r="AY6" s="251"/>
      <c r="AZ6" s="11"/>
      <c r="BA6" s="11"/>
      <c r="BB6" s="11" t="s">
        <v>175</v>
      </c>
    </row>
    <row r="7" spans="2:54" s="46" customFormat="1" x14ac:dyDescent="0.2">
      <c r="B7" s="467" t="s">
        <v>188</v>
      </c>
      <c r="C7" s="485" t="s">
        <v>475</v>
      </c>
      <c r="D7" s="486"/>
      <c r="E7" s="486"/>
      <c r="F7" s="470"/>
      <c r="G7" s="470"/>
      <c r="H7" s="487"/>
      <c r="I7" s="487"/>
      <c r="J7" s="487"/>
      <c r="K7" s="487"/>
      <c r="L7" s="471">
        <f t="shared" ref="L7:L37" si="0">(G7-F7)+(I7-H7)+(K7-J7)+AJ7+AO7</f>
        <v>0</v>
      </c>
      <c r="M7" s="471">
        <f>IF(Juil!H48="x",L7+Juil!M37+M4,L7+M4)</f>
        <v>0.31666666666666665</v>
      </c>
      <c r="N7" s="488">
        <f>IF(Juil!$H$48="x",AV7+Juil!$N$37,AV7)</f>
        <v>6.9666666666666632</v>
      </c>
      <c r="O7" s="493" t="str">
        <f>IF((M7-N7-U$4)&lt;0,"-","+")</f>
        <v>-</v>
      </c>
      <c r="P7" s="489">
        <f>ABS(M7-N7-U$4)</f>
        <v>6.6499999999999968</v>
      </c>
      <c r="Q7" s="494">
        <f>AQ7</f>
        <v>0</v>
      </c>
      <c r="R7" s="494">
        <f>AR7</f>
        <v>0</v>
      </c>
      <c r="S7" s="494">
        <f>AS7</f>
        <v>0</v>
      </c>
      <c r="T7" s="494">
        <f>AP7</f>
        <v>0</v>
      </c>
      <c r="U7" s="488">
        <f>IF($Z$3="x",AD7,)</f>
        <v>0</v>
      </c>
      <c r="V7" s="488">
        <f t="shared" ref="V7:V11" si="1">IF(D7="F",L7,0)</f>
        <v>0</v>
      </c>
      <c r="W7" s="471">
        <f>IF($X$3="x",AF7,)</f>
        <v>0</v>
      </c>
      <c r="X7" s="471">
        <f>IF($X$3="x",AG7,)</f>
        <v>0</v>
      </c>
      <c r="Y7" s="470"/>
      <c r="Z7" s="470"/>
      <c r="AA7" s="469"/>
      <c r="AB7" s="475">
        <f>IF((G7&gt;$AD$3)*AND(F7&lt;=$AD$3),G7-$AD$3,)+IF(F7&gt;$AD$3,G7-F7,)+IF((I7&gt;$AD$3)*AND(H7&lt;=$AD$3),I7-$AD$3,)+IF((H7&gt;$AD$3),I7-H7,)+IF((K7&gt;$AD$3)*AND(J7&lt;=$AD$3),K7-$AD$3,)+IF((J7&gt;$AD$3),K7-J7,)</f>
        <v>0</v>
      </c>
      <c r="AC7" s="475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75">
        <f>AB7+AC7</f>
        <v>0</v>
      </c>
      <c r="AE7" s="475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76">
        <f>AB7-AE7</f>
        <v>0</v>
      </c>
      <c r="AG7" s="475">
        <f>AI7+AE7</f>
        <v>0</v>
      </c>
      <c r="AH7" s="476">
        <f>AD7</f>
        <v>0</v>
      </c>
      <c r="AI7" s="475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77">
        <f>IF((D7&lt;&gt;""),VLOOKUP(D7,Données!$E$36:$H$59,4,FALSE),)</f>
        <v>0</v>
      </c>
      <c r="AK7" s="477">
        <f>IF(V7&gt;0,L7,0)</f>
        <v>0</v>
      </c>
      <c r="AL7" s="478">
        <f>IF(L7&gt;0,D7,0)</f>
        <v>0</v>
      </c>
      <c r="AM7" s="479">
        <f>IF((E7="X")*OR(E7="x"),1,0)</f>
        <v>0</v>
      </c>
      <c r="AN7" s="480">
        <f>IF(D7="F",1,)+IF((D7="JP")*AND(((G7-F7)+(I7-H7)+(K7-J7))&gt;0),1,0)</f>
        <v>0</v>
      </c>
      <c r="AO7" s="477">
        <f>IF((D7="JP")*AND(((G7-F7)+(I7-H7)+(K7-J7))=0),"07:36",0)</f>
        <v>0</v>
      </c>
      <c r="AP7" s="481">
        <f>IF((F7&lt;=$AQ$2)*AND(G7&gt;=$AQ$3),1,)+IF((H7&lt;=$AQ$2)*AND(I7&gt;=$AQ$3),1,)+IF((J7&lt;=$AQ$2)*AND(K7&gt;=$AQ$3),1,)</f>
        <v>0</v>
      </c>
      <c r="AQ7" s="481">
        <f>IF((F7&lt;=$AR$2)*AND(G7&gt;=$AR$3),1,)+IF((H7&lt;=$AR$2)*AND(I7&gt;=$AR$3),1,)+IF((J7&lt;=$AR$2)*AND(K7&gt;=$AR$3),1,)</f>
        <v>0</v>
      </c>
      <c r="AR7" s="481">
        <f>IF((F7&lt;=$AS$2)*AND(G7&gt;=$AS$3),1,)+IF((H7&lt;=$AS$2)*AND(I7&gt;=$AS$3),1,)+IF((J7&lt;=$AS$2)*AND(K7&gt;=$AS$3),1,)</f>
        <v>0</v>
      </c>
      <c r="AS7" s="481">
        <f>IF((F7=$AT$2)*AND(G7&gt;=$AT$3),1,)+IF((H7=$AT$2)*AND(I7&gt;=$AT$3),1,)+IF((J7=$AT$2)*AND(K7&gt;=$AT$3),1,)</f>
        <v>0</v>
      </c>
      <c r="AT7" s="479">
        <f>IF((E7="me")*OR(E7="ME"),1,0)</f>
        <v>0</v>
      </c>
      <c r="AU7" s="479">
        <f>IF((E7="M")*OR(E7="m"),1,0)</f>
        <v>0</v>
      </c>
      <c r="AV7" s="471">
        <f>IF(Données!$H$8="x",AW7,AX7)</f>
        <v>0.31666666666666665</v>
      </c>
      <c r="AW7" s="471">
        <f t="shared" ref="AW7:AW37" si="2">AX7/2</f>
        <v>0.15833333333333333</v>
      </c>
      <c r="AX7" s="471">
        <f>IF(D7="L",AX4,(AX4+"07:36"))</f>
        <v>0.31666666666666665</v>
      </c>
      <c r="AY7" s="467" t="str">
        <f>B7</f>
        <v>Lu</v>
      </c>
      <c r="AZ7" s="7">
        <f>IF((S40="HAU1")*AND(S41&lt;&gt;""),VLOOKUP(S41,Échelle!$Q$5:$R$31,2),)</f>
        <v>0</v>
      </c>
      <c r="BA7" s="4" t="s">
        <v>0</v>
      </c>
      <c r="BB7" s="148"/>
    </row>
    <row r="8" spans="2:54" x14ac:dyDescent="0.2">
      <c r="B8" s="467" t="s">
        <v>176</v>
      </c>
      <c r="C8" s="468" t="s">
        <v>476</v>
      </c>
      <c r="D8" s="469"/>
      <c r="E8" s="469"/>
      <c r="F8" s="470"/>
      <c r="G8" s="470"/>
      <c r="H8" s="470"/>
      <c r="I8" s="470"/>
      <c r="J8" s="487"/>
      <c r="K8" s="487"/>
      <c r="L8" s="471">
        <f t="shared" si="0"/>
        <v>0</v>
      </c>
      <c r="M8" s="471">
        <f>IF(H1="VERSION NON-REGISTREE","NULL",M7+L8)</f>
        <v>0.31666666666666665</v>
      </c>
      <c r="N8" s="488">
        <f>IF(Juil!$H$48="x",AV8+Juil!$N$37,AV8)</f>
        <v>7.2833333333333297</v>
      </c>
      <c r="O8" s="493" t="str">
        <f t="shared" ref="O8:O37" si="3">IF((M8-N8-U$4)&lt;0,"-","+")</f>
        <v>-</v>
      </c>
      <c r="P8" s="489">
        <f t="shared" ref="P8:P37" si="4">ABS(M8-N8-U$4)</f>
        <v>6.9666666666666632</v>
      </c>
      <c r="Q8" s="494">
        <f t="shared" ref="Q8:Q37" si="5">AQ8</f>
        <v>0</v>
      </c>
      <c r="R8" s="494">
        <f t="shared" ref="R8:R37" si="6">AR8</f>
        <v>0</v>
      </c>
      <c r="S8" s="494">
        <f t="shared" ref="S8:S37" si="7">AS8</f>
        <v>0</v>
      </c>
      <c r="T8" s="494">
        <f t="shared" ref="T8:T37" si="8">AP8</f>
        <v>0</v>
      </c>
      <c r="U8" s="488">
        <f t="shared" ref="U8:U37" si="9">IF($Z$3="x",AD8,)</f>
        <v>0</v>
      </c>
      <c r="V8" s="488">
        <f t="shared" si="1"/>
        <v>0</v>
      </c>
      <c r="W8" s="471">
        <f t="shared" ref="W8:W37" si="10">IF($X$3="x",AF8,)</f>
        <v>0</v>
      </c>
      <c r="X8" s="471">
        <f t="shared" ref="X8:X37" si="11">IF($X$3="x",AG8,)</f>
        <v>0</v>
      </c>
      <c r="Y8" s="470"/>
      <c r="Z8" s="470"/>
      <c r="AA8" s="469"/>
      <c r="AB8" s="475">
        <f>IF((G8&gt;$AD$3)*AND(F8&lt;=$AD$3),G8-$AD$3,)+IF(F8&gt;$AD$3,G8-F8,)+IF((I8&gt;$AD$3)*AND(H8&lt;=$AD$3),I8-$AD$3,)+IF((H8&gt;$AD$3),I8-H8,)+IF((K8&gt;$AD$3)*AND(J8&lt;=$AD$3),K8-$AD$3,)+IF((J8&gt;$AD$3),K8-J8,)</f>
        <v>0</v>
      </c>
      <c r="AC8" s="475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75">
        <f>AB8+AC8</f>
        <v>0</v>
      </c>
      <c r="AE8" s="475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76">
        <f>AB8-AE8</f>
        <v>0</v>
      </c>
      <c r="AG8" s="475">
        <f>AI8+AE8</f>
        <v>0</v>
      </c>
      <c r="AH8" s="476">
        <f>AD8</f>
        <v>0</v>
      </c>
      <c r="AI8" s="475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77">
        <f>IF((D8&lt;&gt;""),VLOOKUP(D8,Données!$E$36:$H$59,4,FALSE),)</f>
        <v>0</v>
      </c>
      <c r="AK8" s="477">
        <f>IF(V8&gt;0,L8,0)</f>
        <v>0</v>
      </c>
      <c r="AL8" s="478">
        <f>IF(L8&gt;0,D8,0)</f>
        <v>0</v>
      </c>
      <c r="AM8" s="479">
        <f>IF((E8="X")*OR(E8="x"),1,0)</f>
        <v>0</v>
      </c>
      <c r="AN8" s="480">
        <f t="shared" ref="AN8:AN37" si="12">IF(D8="F",1,)+IF((D8="JP")*AND(((G8-F8)+(I8-H8)+(K8-J8))&gt;0),1,0)</f>
        <v>0</v>
      </c>
      <c r="AO8" s="477">
        <f t="shared" ref="AO8:AO37" si="13">IF((D8="JP")*AND(((G8-F8)+(I8-H8)+(K8-J8))=0),"07:36",0)</f>
        <v>0</v>
      </c>
      <c r="AP8" s="481">
        <f>IF((F8&lt;=$AQ$2)*AND(G8&gt;=$AQ$3),1,)+IF((H8&lt;=$AQ$2)*AND(I8&gt;=$AQ$3),1,)+IF((J8&lt;=$AQ$2)*AND(K8&gt;=$AQ$3),1,)</f>
        <v>0</v>
      </c>
      <c r="AQ8" s="481">
        <f>IF((F8&lt;=$AR$2)*AND(G8&gt;=$AR$3),1,)+IF((H8&lt;=$AR$2)*AND(I8&gt;=$AR$3),1,)+IF((J8&lt;=$AR$2)*AND(K8&gt;=$AR$3),1,)</f>
        <v>0</v>
      </c>
      <c r="AR8" s="481">
        <f>IF((F8&lt;=$AS$2)*AND(G8&gt;=$AS$3),1,)+IF((H8&lt;=$AS$2)*AND(I8&gt;=$AS$3),1,)+IF((J8&lt;=$AS$2)*AND(K8&gt;=$AS$3),1,)</f>
        <v>0</v>
      </c>
      <c r="AS8" s="481">
        <f>IF((F8=$AT$2)*AND(G8&gt;=$AT$3),1,)+IF((H8=$AT$2)*AND(I8&gt;=$AT$3),1,)+IF((J8=$AT$2)*AND(K8&gt;=$AT$3),1,)</f>
        <v>0</v>
      </c>
      <c r="AT8" s="479">
        <f t="shared" ref="AT8:AT37" si="14">IF((E8="me")*OR(E8="ME"),1,0)</f>
        <v>0</v>
      </c>
      <c r="AU8" s="479">
        <f t="shared" ref="AU8:AU37" si="15">IF((E8="M")*OR(E8="m"),1,0)</f>
        <v>0</v>
      </c>
      <c r="AV8" s="471">
        <f>IF(Données!$H$8="x",AW8,AX8)</f>
        <v>0.6333333333333333</v>
      </c>
      <c r="AW8" s="471">
        <f t="shared" si="2"/>
        <v>0.31666666666666665</v>
      </c>
      <c r="AX8" s="471">
        <f t="shared" ref="AX8:AX11" si="16">IF(D8="L",AX7,(AX7+"07:36"))</f>
        <v>0.6333333333333333</v>
      </c>
      <c r="AY8" s="467" t="str">
        <f t="shared" ref="AY8:AY37" si="17">B8</f>
        <v>Ma</v>
      </c>
      <c r="AZ8" s="7">
        <f>IF((S40="HAU2")*AND(S41&lt;&gt;""),VLOOKUP(S41,Échelle!$T$5:$U$31,2),)</f>
        <v>0</v>
      </c>
      <c r="BA8" s="4" t="s">
        <v>1</v>
      </c>
      <c r="BB8" s="148"/>
    </row>
    <row r="9" spans="2:54" x14ac:dyDescent="0.2">
      <c r="B9" s="467" t="s">
        <v>178</v>
      </c>
      <c r="C9" s="468" t="s">
        <v>477</v>
      </c>
      <c r="D9" s="469"/>
      <c r="E9" s="469"/>
      <c r="F9" s="470"/>
      <c r="G9" s="470"/>
      <c r="H9" s="470"/>
      <c r="I9" s="470"/>
      <c r="J9" s="487"/>
      <c r="K9" s="487"/>
      <c r="L9" s="471">
        <f t="shared" si="0"/>
        <v>0</v>
      </c>
      <c r="M9" s="471">
        <f t="shared" ref="M9:M37" si="18">M8+L9</f>
        <v>0.31666666666666665</v>
      </c>
      <c r="N9" s="488">
        <f>IF(Juil!$H$48="x",AV9+Juil!$N$37,AV9)</f>
        <v>7.599999999999997</v>
      </c>
      <c r="O9" s="493" t="str">
        <f t="shared" si="3"/>
        <v>-</v>
      </c>
      <c r="P9" s="489">
        <f t="shared" si="4"/>
        <v>7.2833333333333306</v>
      </c>
      <c r="Q9" s="494">
        <f t="shared" si="5"/>
        <v>0</v>
      </c>
      <c r="R9" s="494">
        <f t="shared" si="6"/>
        <v>0</v>
      </c>
      <c r="S9" s="494">
        <f t="shared" si="7"/>
        <v>0</v>
      </c>
      <c r="T9" s="494">
        <f t="shared" si="8"/>
        <v>0</v>
      </c>
      <c r="U9" s="488">
        <f t="shared" si="9"/>
        <v>0</v>
      </c>
      <c r="V9" s="488">
        <f t="shared" si="1"/>
        <v>0</v>
      </c>
      <c r="W9" s="471">
        <f t="shared" si="10"/>
        <v>0</v>
      </c>
      <c r="X9" s="471">
        <f t="shared" si="11"/>
        <v>0</v>
      </c>
      <c r="Y9" s="470"/>
      <c r="Z9" s="470"/>
      <c r="AA9" s="469"/>
      <c r="AB9" s="475">
        <f t="shared" ref="AB9:AB37" si="19">IF((G9&gt;$AD$3)*AND(F9&lt;=$AD$3),G9-$AD$3,)+IF(F9&gt;$AD$3,G9-F9,)+IF((I9&gt;$AD$3)*AND(H9&lt;=$AD$3),I9-$AD$3,)+IF((H9&gt;$AD$3),I9-H9,)+IF((K9&gt;$AD$3)*AND(J9&lt;=$AD$3),K9-$AD$3,)+IF((J9&gt;$AD$3),K9-J9,)</f>
        <v>0</v>
      </c>
      <c r="AC9" s="475">
        <f t="shared" ref="AC9:AC37" si="20">IF((G9&gt;=$AD$1)*AND(F9&lt;$AD$1),($AD$1)-F9,)+IF((G9&lt;$AD$1),G9-F9,)+IF((I9&gt;=$AD$1)*AND(H9&lt;$AD$1),($AD$1)-H9,)+IF((I9&lt;$AD$1),I9-H9,)+IF((K9&gt;=$AD$1)*AND(J9&lt;$AD$1),($AD$1)-J9,)+IF((K9&lt;$AD$1),K9-J9,)</f>
        <v>0</v>
      </c>
      <c r="AD9" s="475">
        <f t="shared" ref="AD9:AD37" si="21">AB9+AC9</f>
        <v>0</v>
      </c>
      <c r="AE9" s="475">
        <f t="shared" ref="AE9:AE37" si="22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76">
        <f t="shared" ref="AF9:AF37" si="23">AB9-AE9</f>
        <v>0</v>
      </c>
      <c r="AG9" s="475">
        <f t="shared" ref="AG9:AG37" si="24">AI9+AE9</f>
        <v>0</v>
      </c>
      <c r="AH9" s="476">
        <f t="shared" ref="AH9:AH37" si="25">AD9</f>
        <v>0</v>
      </c>
      <c r="AI9" s="475">
        <f t="shared" ref="AI9:AI37" si="26">IF((G9&gt;=$AD$2)*AND(F9&lt;$AD$2),($AD$2)-F9,)+IF((G9&lt;$AD$2),G9-F9,)+IF((I9&gt;=$AD$2)*AND(H9&lt;$AD$2),($AD$2)-H9,)+IF((I9&lt;$AD$2),I9-H9,)+IF((K9&gt;=$AD$2)*AND(J9&lt;$AD$2),($AD$2)-J9,)+IF((K9&lt;$AD$2),K9-J9,)</f>
        <v>0</v>
      </c>
      <c r="AJ9" s="477">
        <f>IF((D9&lt;&gt;""),VLOOKUP(D9,Données!$E$36:$H$59,4,FALSE),)</f>
        <v>0</v>
      </c>
      <c r="AK9" s="477">
        <f>IF(V9&gt;0,L9,0)</f>
        <v>0</v>
      </c>
      <c r="AL9" s="478">
        <f>IF(L9&gt;0,D9,0)</f>
        <v>0</v>
      </c>
      <c r="AM9" s="479">
        <f>IF((E9="X")*OR(E9="x"),1,0)</f>
        <v>0</v>
      </c>
      <c r="AN9" s="480">
        <f t="shared" si="12"/>
        <v>0</v>
      </c>
      <c r="AO9" s="477">
        <f t="shared" si="13"/>
        <v>0</v>
      </c>
      <c r="AP9" s="481">
        <f>IF((F9&lt;=$AQ$2)*AND(G9&gt;=$AQ$3),1,)+IF((H9&lt;=$AQ$2)*AND(I9&gt;=$AQ$3),1,)+IF((J9&lt;=$AQ$2)*AND(K9&gt;=$AQ$3),1,)</f>
        <v>0</v>
      </c>
      <c r="AQ9" s="481">
        <f>IF((F9&lt;=$AR$2)*AND(G9&gt;=$AR$3),1,)+IF((H9&lt;=$AR$2)*AND(I9&gt;=$AR$3),1,)+IF((J9&lt;=$AR$2)*AND(K9&gt;=$AR$3),1,)</f>
        <v>0</v>
      </c>
      <c r="AR9" s="481">
        <f>IF((F9&lt;=$AS$2)*AND(G9&gt;=$AS$3),1,)+IF((H9&lt;=$AS$2)*AND(I9&gt;=$AS$3),1,)+IF((J9&lt;=$AS$2)*AND(K9&gt;=$AS$3),1,)</f>
        <v>0</v>
      </c>
      <c r="AS9" s="481">
        <f>IF((F9=$AT$2)*AND(G9&gt;=$AT$3),1,)+IF((H9=$AT$2)*AND(I9&gt;=$AT$3),1,)+IF((J9=$AT$2)*AND(K9&gt;=$AT$3),1,)</f>
        <v>0</v>
      </c>
      <c r="AT9" s="479">
        <f t="shared" si="14"/>
        <v>0</v>
      </c>
      <c r="AU9" s="479">
        <f t="shared" si="15"/>
        <v>0</v>
      </c>
      <c r="AV9" s="471">
        <f>IF(Données!$H$8="x",AW9,AX9)</f>
        <v>0.95</v>
      </c>
      <c r="AW9" s="471">
        <f t="shared" si="2"/>
        <v>0.47499999999999998</v>
      </c>
      <c r="AX9" s="471">
        <f t="shared" si="16"/>
        <v>0.95</v>
      </c>
      <c r="AY9" s="467" t="str">
        <f t="shared" si="17"/>
        <v>Me</v>
      </c>
      <c r="AZ9" s="7">
        <f>IF((S40="HAU3")*AND(S41&lt;&gt;""),VLOOKUP(S41,Échelle!$W$5:$X$31,2),)</f>
        <v>0</v>
      </c>
      <c r="BA9" s="4" t="s">
        <v>2</v>
      </c>
      <c r="BB9" s="148"/>
    </row>
    <row r="10" spans="2:54" x14ac:dyDescent="0.2">
      <c r="B10" s="467" t="s">
        <v>180</v>
      </c>
      <c r="C10" s="468" t="s">
        <v>478</v>
      </c>
      <c r="D10" s="469"/>
      <c r="E10" s="469"/>
      <c r="F10" s="470"/>
      <c r="G10" s="470"/>
      <c r="H10" s="470"/>
      <c r="I10" s="470"/>
      <c r="J10" s="487"/>
      <c r="K10" s="487"/>
      <c r="L10" s="471">
        <f t="shared" si="0"/>
        <v>0</v>
      </c>
      <c r="M10" s="471">
        <f t="shared" si="18"/>
        <v>0.31666666666666665</v>
      </c>
      <c r="N10" s="488">
        <f>IF(Juil!$H$48="x",AV10+Juil!$N$37,AV10)</f>
        <v>7.9166666666666634</v>
      </c>
      <c r="O10" s="493" t="str">
        <f t="shared" si="3"/>
        <v>-</v>
      </c>
      <c r="P10" s="489">
        <f t="shared" si="4"/>
        <v>7.599999999999997</v>
      </c>
      <c r="Q10" s="494">
        <f t="shared" si="5"/>
        <v>0</v>
      </c>
      <c r="R10" s="494">
        <f t="shared" si="6"/>
        <v>0</v>
      </c>
      <c r="S10" s="494">
        <f t="shared" si="7"/>
        <v>0</v>
      </c>
      <c r="T10" s="494">
        <f t="shared" si="8"/>
        <v>0</v>
      </c>
      <c r="U10" s="488">
        <f t="shared" si="9"/>
        <v>0</v>
      </c>
      <c r="V10" s="488">
        <f t="shared" si="1"/>
        <v>0</v>
      </c>
      <c r="W10" s="471">
        <f t="shared" si="10"/>
        <v>0</v>
      </c>
      <c r="X10" s="471">
        <f t="shared" si="11"/>
        <v>0</v>
      </c>
      <c r="Y10" s="470"/>
      <c r="Z10" s="470"/>
      <c r="AA10" s="469"/>
      <c r="AB10" s="475">
        <f t="shared" si="19"/>
        <v>0</v>
      </c>
      <c r="AC10" s="475">
        <f t="shared" si="20"/>
        <v>0</v>
      </c>
      <c r="AD10" s="475">
        <f t="shared" si="21"/>
        <v>0</v>
      </c>
      <c r="AE10" s="475">
        <f t="shared" si="22"/>
        <v>0</v>
      </c>
      <c r="AF10" s="476">
        <f t="shared" si="23"/>
        <v>0</v>
      </c>
      <c r="AG10" s="475">
        <f t="shared" si="24"/>
        <v>0</v>
      </c>
      <c r="AH10" s="476">
        <f t="shared" si="25"/>
        <v>0</v>
      </c>
      <c r="AI10" s="475">
        <f t="shared" si="26"/>
        <v>0</v>
      </c>
      <c r="AJ10" s="477">
        <f>IF((D10&lt;&gt;""),VLOOKUP(D10,Données!$E$36:$H$59,4,FALSE),)</f>
        <v>0</v>
      </c>
      <c r="AK10" s="477">
        <f t="shared" ref="AK10:AK37" si="27">IF(V10&gt;0,L10,0)</f>
        <v>0</v>
      </c>
      <c r="AL10" s="478">
        <f t="shared" ref="AL10:AL37" si="28">IF(L10&gt;0,D10,0)</f>
        <v>0</v>
      </c>
      <c r="AM10" s="479">
        <f t="shared" ref="AM10:AM37" si="29">IF((E10="X")*OR(E10="x"),1,0)</f>
        <v>0</v>
      </c>
      <c r="AN10" s="480">
        <f t="shared" si="12"/>
        <v>0</v>
      </c>
      <c r="AO10" s="477">
        <f t="shared" si="13"/>
        <v>0</v>
      </c>
      <c r="AP10" s="481">
        <f t="shared" ref="AP10:AP37" si="30">IF((F10&lt;=$AQ$2)*AND(G10&gt;=$AQ$3),1,)+IF((H10&lt;=$AQ$2)*AND(I10&gt;=$AQ$3),1,)+IF((J10&lt;=$AQ$2)*AND(K10&gt;=$AQ$3),1,)</f>
        <v>0</v>
      </c>
      <c r="AQ10" s="481">
        <f t="shared" ref="AQ10:AQ37" si="31">IF((F10&lt;=$AR$2)*AND(G10&gt;=$AR$3),1,)+IF((H10&lt;=$AR$2)*AND(I10&gt;=$AR$3),1,)+IF((J10&lt;=$AR$2)*AND(K10&gt;=$AR$3),1,)</f>
        <v>0</v>
      </c>
      <c r="AR10" s="481">
        <f t="shared" ref="AR10:AR37" si="32">IF((F10&lt;=$AS$2)*AND(G10&gt;=$AS$3),1,)+IF((H10&lt;=$AS$2)*AND(I10&gt;=$AS$3),1,)+IF((J10&lt;=$AS$2)*AND(K10&gt;=$AS$3),1,)</f>
        <v>0</v>
      </c>
      <c r="AS10" s="481">
        <f t="shared" ref="AS10:AS37" si="33">IF((F10=$AT$2)*AND(G10&gt;=$AT$3),1,)+IF((H10=$AT$2)*AND(I10&gt;=$AT$3),1,)+IF((J10=$AT$2)*AND(K10&gt;=$AT$3),1,)</f>
        <v>0</v>
      </c>
      <c r="AT10" s="479">
        <f t="shared" si="14"/>
        <v>0</v>
      </c>
      <c r="AU10" s="479">
        <f t="shared" si="15"/>
        <v>0</v>
      </c>
      <c r="AV10" s="471">
        <f>IF(Données!$H$8="x",AW10,AX10)</f>
        <v>1.2666666666666666</v>
      </c>
      <c r="AW10" s="471">
        <f t="shared" si="2"/>
        <v>0.6333333333333333</v>
      </c>
      <c r="AX10" s="471">
        <f t="shared" si="16"/>
        <v>1.2666666666666666</v>
      </c>
      <c r="AY10" s="467" t="str">
        <f t="shared" si="17"/>
        <v>Je</v>
      </c>
      <c r="AZ10" s="7">
        <f>IF((S40="B1")*AND(S41&lt;&gt;""),VLOOKUP(S41,Échelle!$Z$5:$AA$31,2),)</f>
        <v>0</v>
      </c>
      <c r="BA10" s="4" t="s">
        <v>3</v>
      </c>
      <c r="BB10" s="148"/>
    </row>
    <row r="11" spans="2:54" x14ac:dyDescent="0.2">
      <c r="B11" s="467" t="s">
        <v>182</v>
      </c>
      <c r="C11" s="468" t="s">
        <v>479</v>
      </c>
      <c r="D11" s="469"/>
      <c r="E11" s="469"/>
      <c r="F11" s="470"/>
      <c r="G11" s="470"/>
      <c r="H11" s="470"/>
      <c r="I11" s="470"/>
      <c r="J11" s="487"/>
      <c r="K11" s="487"/>
      <c r="L11" s="471">
        <f t="shared" si="0"/>
        <v>0</v>
      </c>
      <c r="M11" s="471">
        <f>M10+L11</f>
        <v>0.31666666666666665</v>
      </c>
      <c r="N11" s="488">
        <f>IF(Juil!$H$48="x",AV11+Juil!$N$37,AV11)</f>
        <v>8.2333333333333307</v>
      </c>
      <c r="O11" s="493" t="str">
        <f t="shared" si="3"/>
        <v>-</v>
      </c>
      <c r="P11" s="489">
        <f t="shared" si="4"/>
        <v>7.9166666666666643</v>
      </c>
      <c r="Q11" s="494">
        <f t="shared" si="5"/>
        <v>0</v>
      </c>
      <c r="R11" s="494">
        <f t="shared" si="6"/>
        <v>0</v>
      </c>
      <c r="S11" s="494">
        <f t="shared" si="7"/>
        <v>0</v>
      </c>
      <c r="T11" s="494">
        <f t="shared" si="8"/>
        <v>0</v>
      </c>
      <c r="U11" s="488">
        <f t="shared" si="9"/>
        <v>0</v>
      </c>
      <c r="V11" s="488">
        <f t="shared" si="1"/>
        <v>0</v>
      </c>
      <c r="W11" s="471">
        <f t="shared" si="10"/>
        <v>0</v>
      </c>
      <c r="X11" s="471">
        <f t="shared" si="11"/>
        <v>0</v>
      </c>
      <c r="Y11" s="470"/>
      <c r="Z11" s="470"/>
      <c r="AA11" s="469"/>
      <c r="AB11" s="475">
        <f t="shared" si="19"/>
        <v>0</v>
      </c>
      <c r="AC11" s="475">
        <f t="shared" si="20"/>
        <v>0</v>
      </c>
      <c r="AD11" s="475">
        <f t="shared" si="21"/>
        <v>0</v>
      </c>
      <c r="AE11" s="475">
        <f t="shared" si="22"/>
        <v>0</v>
      </c>
      <c r="AF11" s="476">
        <f t="shared" si="23"/>
        <v>0</v>
      </c>
      <c r="AG11" s="475">
        <f t="shared" si="24"/>
        <v>0</v>
      </c>
      <c r="AH11" s="476">
        <f t="shared" si="25"/>
        <v>0</v>
      </c>
      <c r="AI11" s="475">
        <f t="shared" si="26"/>
        <v>0</v>
      </c>
      <c r="AJ11" s="477">
        <f>IF((D11&lt;&gt;""),VLOOKUP(D11,Données!$E$36:$H$59,4,FALSE),)</f>
        <v>0</v>
      </c>
      <c r="AK11" s="477">
        <f t="shared" si="27"/>
        <v>0</v>
      </c>
      <c r="AL11" s="478">
        <f t="shared" si="28"/>
        <v>0</v>
      </c>
      <c r="AM11" s="479">
        <f t="shared" si="29"/>
        <v>0</v>
      </c>
      <c r="AN11" s="480">
        <f t="shared" si="12"/>
        <v>0</v>
      </c>
      <c r="AO11" s="477">
        <f t="shared" si="13"/>
        <v>0</v>
      </c>
      <c r="AP11" s="481">
        <f t="shared" si="30"/>
        <v>0</v>
      </c>
      <c r="AQ11" s="481">
        <f t="shared" si="31"/>
        <v>0</v>
      </c>
      <c r="AR11" s="481">
        <f t="shared" si="32"/>
        <v>0</v>
      </c>
      <c r="AS11" s="481">
        <f t="shared" si="33"/>
        <v>0</v>
      </c>
      <c r="AT11" s="479">
        <f t="shared" si="14"/>
        <v>0</v>
      </c>
      <c r="AU11" s="479">
        <f t="shared" si="15"/>
        <v>0</v>
      </c>
      <c r="AV11" s="471">
        <f>IF(Données!$H$8="x",AW11,AX11)</f>
        <v>1.5833333333333333</v>
      </c>
      <c r="AW11" s="471">
        <f t="shared" si="2"/>
        <v>0.79166666666666663</v>
      </c>
      <c r="AX11" s="471">
        <f t="shared" si="16"/>
        <v>1.5833333333333333</v>
      </c>
      <c r="AY11" s="467" t="str">
        <f t="shared" si="17"/>
        <v>Ve</v>
      </c>
      <c r="AZ11" s="7">
        <f>IF((S40="B2")*AND(S41&lt;&gt;""),VLOOKUP(S41,Échelle!$AC$5:$AD$31,2),)</f>
        <v>0</v>
      </c>
      <c r="BA11" s="4" t="s">
        <v>4</v>
      </c>
      <c r="BB11" s="148"/>
    </row>
    <row r="12" spans="2:54" x14ac:dyDescent="0.2">
      <c r="B12" s="403" t="s">
        <v>184</v>
      </c>
      <c r="C12" s="412" t="s">
        <v>480</v>
      </c>
      <c r="D12" s="411"/>
      <c r="E12" s="411"/>
      <c r="F12" s="401"/>
      <c r="G12" s="401"/>
      <c r="H12" s="401"/>
      <c r="I12" s="401"/>
      <c r="J12" s="406"/>
      <c r="K12" s="406"/>
      <c r="L12" s="402">
        <f>(G12-F12)+(I12-H12)+(K12-J12)</f>
        <v>0</v>
      </c>
      <c r="M12" s="402">
        <f>M11+L12</f>
        <v>0.31666666666666665</v>
      </c>
      <c r="N12" s="407">
        <f>IF(Juil!$H$48="x",AV12+Juil!$N$37,AV12)</f>
        <v>8.2333333333333307</v>
      </c>
      <c r="O12" s="414" t="str">
        <f t="shared" si="3"/>
        <v>-</v>
      </c>
      <c r="P12" s="409">
        <f t="shared" si="4"/>
        <v>7.9166666666666643</v>
      </c>
      <c r="Q12" s="415">
        <f t="shared" si="5"/>
        <v>0</v>
      </c>
      <c r="R12" s="415">
        <f t="shared" si="6"/>
        <v>0</v>
      </c>
      <c r="S12" s="415">
        <f t="shared" si="7"/>
        <v>0</v>
      </c>
      <c r="T12" s="415">
        <f t="shared" si="8"/>
        <v>0</v>
      </c>
      <c r="U12" s="407">
        <f t="shared" si="9"/>
        <v>0</v>
      </c>
      <c r="V12" s="407">
        <f>L12</f>
        <v>0</v>
      </c>
      <c r="W12" s="402">
        <f t="shared" si="10"/>
        <v>0</v>
      </c>
      <c r="X12" s="402">
        <f t="shared" si="11"/>
        <v>0</v>
      </c>
      <c r="Y12" s="401"/>
      <c r="Z12" s="401"/>
      <c r="AA12" s="411"/>
      <c r="AB12" s="420">
        <f t="shared" si="19"/>
        <v>0</v>
      </c>
      <c r="AC12" s="420">
        <f t="shared" si="20"/>
        <v>0</v>
      </c>
      <c r="AD12" s="420">
        <f t="shared" si="21"/>
        <v>0</v>
      </c>
      <c r="AE12" s="420">
        <f t="shared" si="22"/>
        <v>0</v>
      </c>
      <c r="AF12" s="421">
        <f t="shared" si="23"/>
        <v>0</v>
      </c>
      <c r="AG12" s="420">
        <f t="shared" si="24"/>
        <v>0</v>
      </c>
      <c r="AH12" s="421">
        <f t="shared" si="25"/>
        <v>0</v>
      </c>
      <c r="AI12" s="420">
        <f t="shared" si="26"/>
        <v>0</v>
      </c>
      <c r="AJ12" s="422">
        <f>IF((D12&lt;&gt;""),VLOOKUP(D12,Données!$E$36:$H$59,4,FALSE),)</f>
        <v>0</v>
      </c>
      <c r="AK12" s="422">
        <f t="shared" si="27"/>
        <v>0</v>
      </c>
      <c r="AL12" s="423">
        <f t="shared" si="28"/>
        <v>0</v>
      </c>
      <c r="AM12" s="424">
        <f t="shared" si="29"/>
        <v>0</v>
      </c>
      <c r="AN12" s="425">
        <f t="shared" si="12"/>
        <v>0</v>
      </c>
      <c r="AO12" s="422">
        <f t="shared" si="13"/>
        <v>0</v>
      </c>
      <c r="AP12" s="426">
        <f t="shared" si="30"/>
        <v>0</v>
      </c>
      <c r="AQ12" s="426">
        <f t="shared" si="31"/>
        <v>0</v>
      </c>
      <c r="AR12" s="426">
        <f t="shared" si="32"/>
        <v>0</v>
      </c>
      <c r="AS12" s="426">
        <f t="shared" si="33"/>
        <v>0</v>
      </c>
      <c r="AT12" s="424">
        <f t="shared" si="14"/>
        <v>0</v>
      </c>
      <c r="AU12" s="424">
        <f t="shared" si="15"/>
        <v>0</v>
      </c>
      <c r="AV12" s="402">
        <f>IF(Données!$H$8="x",AW12,AX12)</f>
        <v>1.5833333333333333</v>
      </c>
      <c r="AW12" s="402">
        <f t="shared" si="2"/>
        <v>0.79166666666666663</v>
      </c>
      <c r="AX12" s="402">
        <f>AX11</f>
        <v>1.5833333333333333</v>
      </c>
      <c r="AY12" s="403" t="str">
        <f t="shared" si="17"/>
        <v>Sa</v>
      </c>
      <c r="AZ12" s="423">
        <f>IF((S40="B3")*AND(S41&lt;&gt;""),VLOOKUP(S41,Échelle!$AF$5:$AG$31,2),)</f>
        <v>0</v>
      </c>
      <c r="BA12" s="424" t="s">
        <v>5</v>
      </c>
      <c r="BB12" s="148"/>
    </row>
    <row r="13" spans="2:54" x14ac:dyDescent="0.2">
      <c r="B13" s="403" t="s">
        <v>186</v>
      </c>
      <c r="C13" s="412" t="s">
        <v>481</v>
      </c>
      <c r="D13" s="411"/>
      <c r="E13" s="411"/>
      <c r="F13" s="401"/>
      <c r="G13" s="401"/>
      <c r="H13" s="401"/>
      <c r="I13" s="401"/>
      <c r="J13" s="406"/>
      <c r="K13" s="406"/>
      <c r="L13" s="402">
        <f>(G13-F13)+(I13-H13)+(K13-J13)</f>
        <v>0</v>
      </c>
      <c r="M13" s="402">
        <f t="shared" si="18"/>
        <v>0.31666666666666665</v>
      </c>
      <c r="N13" s="407">
        <f>IF(Juil!$H$48="x",AV13+Juil!$N$37,AV13)</f>
        <v>8.2333333333333307</v>
      </c>
      <c r="O13" s="414" t="str">
        <f t="shared" si="3"/>
        <v>-</v>
      </c>
      <c r="P13" s="409">
        <f t="shared" si="4"/>
        <v>7.9166666666666643</v>
      </c>
      <c r="Q13" s="415">
        <f t="shared" si="5"/>
        <v>0</v>
      </c>
      <c r="R13" s="415">
        <f t="shared" si="6"/>
        <v>0</v>
      </c>
      <c r="S13" s="415">
        <f t="shared" si="7"/>
        <v>0</v>
      </c>
      <c r="T13" s="415">
        <f t="shared" si="8"/>
        <v>0</v>
      </c>
      <c r="U13" s="407">
        <f t="shared" si="9"/>
        <v>0</v>
      </c>
      <c r="V13" s="407">
        <f>L13</f>
        <v>0</v>
      </c>
      <c r="W13" s="402">
        <f t="shared" si="10"/>
        <v>0</v>
      </c>
      <c r="X13" s="402">
        <f t="shared" si="11"/>
        <v>0</v>
      </c>
      <c r="Y13" s="401"/>
      <c r="Z13" s="401"/>
      <c r="AA13" s="411"/>
      <c r="AB13" s="420">
        <f t="shared" si="19"/>
        <v>0</v>
      </c>
      <c r="AC13" s="420">
        <f t="shared" si="20"/>
        <v>0</v>
      </c>
      <c r="AD13" s="420">
        <f t="shared" si="21"/>
        <v>0</v>
      </c>
      <c r="AE13" s="420">
        <f t="shared" si="22"/>
        <v>0</v>
      </c>
      <c r="AF13" s="421">
        <f t="shared" si="23"/>
        <v>0</v>
      </c>
      <c r="AG13" s="420">
        <f t="shared" si="24"/>
        <v>0</v>
      </c>
      <c r="AH13" s="421">
        <f t="shared" si="25"/>
        <v>0</v>
      </c>
      <c r="AI13" s="420">
        <f t="shared" si="26"/>
        <v>0</v>
      </c>
      <c r="AJ13" s="422">
        <f>IF((D13&lt;&gt;""),VLOOKUP(D13,Données!$E$36:$H$59,4,FALSE),)</f>
        <v>0</v>
      </c>
      <c r="AK13" s="422">
        <f t="shared" si="27"/>
        <v>0</v>
      </c>
      <c r="AL13" s="423">
        <f t="shared" si="28"/>
        <v>0</v>
      </c>
      <c r="AM13" s="424">
        <f t="shared" si="29"/>
        <v>0</v>
      </c>
      <c r="AN13" s="425">
        <f t="shared" si="12"/>
        <v>0</v>
      </c>
      <c r="AO13" s="422">
        <f t="shared" si="13"/>
        <v>0</v>
      </c>
      <c r="AP13" s="426">
        <f t="shared" si="30"/>
        <v>0</v>
      </c>
      <c r="AQ13" s="426">
        <f t="shared" si="31"/>
        <v>0</v>
      </c>
      <c r="AR13" s="426">
        <f t="shared" si="32"/>
        <v>0</v>
      </c>
      <c r="AS13" s="426">
        <f t="shared" si="33"/>
        <v>0</v>
      </c>
      <c r="AT13" s="424">
        <f t="shared" si="14"/>
        <v>0</v>
      </c>
      <c r="AU13" s="424">
        <f t="shared" si="15"/>
        <v>0</v>
      </c>
      <c r="AV13" s="402">
        <f>IF(Données!$H$8="x",AW13,AX13)</f>
        <v>1.5833333333333333</v>
      </c>
      <c r="AW13" s="402">
        <f t="shared" si="2"/>
        <v>0.79166666666666663</v>
      </c>
      <c r="AX13" s="402">
        <f>AX12</f>
        <v>1.5833333333333333</v>
      </c>
      <c r="AY13" s="403" t="str">
        <f t="shared" si="17"/>
        <v>Di</v>
      </c>
      <c r="AZ13" s="423">
        <f>IF((S40="B4")*AND(S41&lt;&gt;""),VLOOKUP(S41,Échelle!AI$5:AJ$34,2),)</f>
        <v>0</v>
      </c>
      <c r="BA13" s="424" t="s">
        <v>6</v>
      </c>
      <c r="BB13" s="148"/>
    </row>
    <row r="14" spans="2:54" x14ac:dyDescent="0.2">
      <c r="B14" s="467" t="s">
        <v>188</v>
      </c>
      <c r="C14" s="468" t="s">
        <v>482</v>
      </c>
      <c r="D14" s="469"/>
      <c r="E14" s="469"/>
      <c r="F14" s="470"/>
      <c r="G14" s="470"/>
      <c r="H14" s="470"/>
      <c r="I14" s="470"/>
      <c r="J14" s="487"/>
      <c r="K14" s="487"/>
      <c r="L14" s="471">
        <f t="shared" si="0"/>
        <v>0</v>
      </c>
      <c r="M14" s="471">
        <f t="shared" si="18"/>
        <v>0.31666666666666665</v>
      </c>
      <c r="N14" s="488">
        <f>IF(Juil!$H$48="x",AV14+Juil!$N$37,AV14)</f>
        <v>8.5499999999999972</v>
      </c>
      <c r="O14" s="493" t="str">
        <f t="shared" si="3"/>
        <v>-</v>
      </c>
      <c r="P14" s="489">
        <f t="shared" si="4"/>
        <v>8.2333333333333307</v>
      </c>
      <c r="Q14" s="494">
        <f t="shared" si="5"/>
        <v>0</v>
      </c>
      <c r="R14" s="494">
        <f t="shared" si="6"/>
        <v>0</v>
      </c>
      <c r="S14" s="494">
        <f t="shared" si="7"/>
        <v>0</v>
      </c>
      <c r="T14" s="494">
        <f t="shared" si="8"/>
        <v>0</v>
      </c>
      <c r="U14" s="488">
        <f t="shared" si="9"/>
        <v>0</v>
      </c>
      <c r="V14" s="488">
        <f t="shared" ref="V14:V18" si="34">IF(D14="F",L14,0)</f>
        <v>0</v>
      </c>
      <c r="W14" s="471">
        <f t="shared" si="10"/>
        <v>0</v>
      </c>
      <c r="X14" s="471">
        <f t="shared" si="11"/>
        <v>0</v>
      </c>
      <c r="Y14" s="470"/>
      <c r="Z14" s="470"/>
      <c r="AA14" s="469"/>
      <c r="AB14" s="475">
        <f t="shared" si="19"/>
        <v>0</v>
      </c>
      <c r="AC14" s="475">
        <f t="shared" si="20"/>
        <v>0</v>
      </c>
      <c r="AD14" s="475">
        <f t="shared" si="21"/>
        <v>0</v>
      </c>
      <c r="AE14" s="475">
        <f t="shared" si="22"/>
        <v>0</v>
      </c>
      <c r="AF14" s="476">
        <f t="shared" si="23"/>
        <v>0</v>
      </c>
      <c r="AG14" s="475">
        <f t="shared" si="24"/>
        <v>0</v>
      </c>
      <c r="AH14" s="476">
        <f t="shared" si="25"/>
        <v>0</v>
      </c>
      <c r="AI14" s="475">
        <f t="shared" si="26"/>
        <v>0</v>
      </c>
      <c r="AJ14" s="477">
        <f>IF((D14&lt;&gt;""),VLOOKUP(D14,Données!$E$36:$H$59,4,FALSE),)</f>
        <v>0</v>
      </c>
      <c r="AK14" s="477">
        <f t="shared" si="27"/>
        <v>0</v>
      </c>
      <c r="AL14" s="478">
        <f t="shared" si="28"/>
        <v>0</v>
      </c>
      <c r="AM14" s="479">
        <f t="shared" si="29"/>
        <v>0</v>
      </c>
      <c r="AN14" s="480">
        <f t="shared" si="12"/>
        <v>0</v>
      </c>
      <c r="AO14" s="477">
        <f t="shared" si="13"/>
        <v>0</v>
      </c>
      <c r="AP14" s="481">
        <f t="shared" si="30"/>
        <v>0</v>
      </c>
      <c r="AQ14" s="481">
        <f t="shared" si="31"/>
        <v>0</v>
      </c>
      <c r="AR14" s="481">
        <f t="shared" si="32"/>
        <v>0</v>
      </c>
      <c r="AS14" s="481">
        <f t="shared" si="33"/>
        <v>0</v>
      </c>
      <c r="AT14" s="479">
        <f t="shared" si="14"/>
        <v>0</v>
      </c>
      <c r="AU14" s="479">
        <f t="shared" si="15"/>
        <v>0</v>
      </c>
      <c r="AV14" s="471">
        <f>IF(Données!$H$8="x",AW14,AX14)</f>
        <v>1.9</v>
      </c>
      <c r="AW14" s="471">
        <f t="shared" si="2"/>
        <v>0.95</v>
      </c>
      <c r="AX14" s="471">
        <f t="shared" ref="AX14:AX18" si="35">IF(D14="L",AX13,(AX13+"07:36"))</f>
        <v>1.9</v>
      </c>
      <c r="AY14" s="467" t="str">
        <f t="shared" si="17"/>
        <v>Lu</v>
      </c>
      <c r="AZ14" s="7">
        <f>IF((S40="B5")*AND(S41&lt;&gt;""),VLOOKUP(S41,Échelle!AL$5:AM$34,2),)</f>
        <v>0</v>
      </c>
      <c r="BA14" s="4" t="s">
        <v>7</v>
      </c>
      <c r="BB14" s="148"/>
    </row>
    <row r="15" spans="2:54" x14ac:dyDescent="0.2">
      <c r="B15" s="467" t="s">
        <v>176</v>
      </c>
      <c r="C15" s="468" t="s">
        <v>483</v>
      </c>
      <c r="D15" s="469"/>
      <c r="E15" s="469"/>
      <c r="F15" s="470"/>
      <c r="G15" s="470"/>
      <c r="H15" s="470"/>
      <c r="I15" s="470"/>
      <c r="J15" s="487"/>
      <c r="K15" s="487"/>
      <c r="L15" s="471">
        <f t="shared" si="0"/>
        <v>0</v>
      </c>
      <c r="M15" s="471">
        <f t="shared" si="18"/>
        <v>0.31666666666666665</v>
      </c>
      <c r="N15" s="488">
        <f>IF(Juil!$H$48="x",AV15+Juil!$N$37,AV15)</f>
        <v>8.8666666666666636</v>
      </c>
      <c r="O15" s="493" t="str">
        <f t="shared" si="3"/>
        <v>-</v>
      </c>
      <c r="P15" s="489">
        <f t="shared" si="4"/>
        <v>8.5499999999999972</v>
      </c>
      <c r="Q15" s="494">
        <f t="shared" si="5"/>
        <v>0</v>
      </c>
      <c r="R15" s="494">
        <f t="shared" si="6"/>
        <v>0</v>
      </c>
      <c r="S15" s="494">
        <f t="shared" si="7"/>
        <v>0</v>
      </c>
      <c r="T15" s="494">
        <f t="shared" si="8"/>
        <v>0</v>
      </c>
      <c r="U15" s="488">
        <f t="shared" si="9"/>
        <v>0</v>
      </c>
      <c r="V15" s="488">
        <f t="shared" si="34"/>
        <v>0</v>
      </c>
      <c r="W15" s="471">
        <f t="shared" si="10"/>
        <v>0</v>
      </c>
      <c r="X15" s="471">
        <f t="shared" si="11"/>
        <v>0</v>
      </c>
      <c r="Y15" s="470"/>
      <c r="Z15" s="470"/>
      <c r="AA15" s="469"/>
      <c r="AB15" s="475">
        <f t="shared" si="19"/>
        <v>0</v>
      </c>
      <c r="AC15" s="475">
        <f t="shared" si="20"/>
        <v>0</v>
      </c>
      <c r="AD15" s="475">
        <f t="shared" si="21"/>
        <v>0</v>
      </c>
      <c r="AE15" s="475">
        <f t="shared" si="22"/>
        <v>0</v>
      </c>
      <c r="AF15" s="476">
        <f t="shared" si="23"/>
        <v>0</v>
      </c>
      <c r="AG15" s="475">
        <f t="shared" si="24"/>
        <v>0</v>
      </c>
      <c r="AH15" s="476">
        <f t="shared" si="25"/>
        <v>0</v>
      </c>
      <c r="AI15" s="475">
        <f t="shared" si="26"/>
        <v>0</v>
      </c>
      <c r="AJ15" s="477">
        <f>IF((D15&lt;&gt;""),VLOOKUP(D15,Données!$E$36:$H$59,4,FALSE),)</f>
        <v>0</v>
      </c>
      <c r="AK15" s="477">
        <f t="shared" si="27"/>
        <v>0</v>
      </c>
      <c r="AL15" s="478">
        <f t="shared" si="28"/>
        <v>0</v>
      </c>
      <c r="AM15" s="479">
        <f t="shared" si="29"/>
        <v>0</v>
      </c>
      <c r="AN15" s="480">
        <f t="shared" si="12"/>
        <v>0</v>
      </c>
      <c r="AO15" s="477">
        <f t="shared" si="13"/>
        <v>0</v>
      </c>
      <c r="AP15" s="481">
        <f t="shared" si="30"/>
        <v>0</v>
      </c>
      <c r="AQ15" s="481">
        <f t="shared" si="31"/>
        <v>0</v>
      </c>
      <c r="AR15" s="481">
        <f t="shared" si="32"/>
        <v>0</v>
      </c>
      <c r="AS15" s="481">
        <f t="shared" si="33"/>
        <v>0</v>
      </c>
      <c r="AT15" s="479">
        <f t="shared" si="14"/>
        <v>0</v>
      </c>
      <c r="AU15" s="479">
        <f t="shared" si="15"/>
        <v>0</v>
      </c>
      <c r="AV15" s="471">
        <f>IF(Données!$H$8="x",AW15,AX15)</f>
        <v>2.2166666666666668</v>
      </c>
      <c r="AW15" s="471">
        <f t="shared" si="2"/>
        <v>1.1083333333333334</v>
      </c>
      <c r="AX15" s="471">
        <f t="shared" si="35"/>
        <v>2.2166666666666668</v>
      </c>
      <c r="AY15" s="467" t="str">
        <f t="shared" si="17"/>
        <v>Ma</v>
      </c>
      <c r="AZ15" s="7">
        <f>IF((S40="M1.1")*AND(S41&lt;&gt;""),VLOOKUP(S41,Échelle!$AO$5:$AP$31,2),)</f>
        <v>0</v>
      </c>
      <c r="BA15" s="4" t="s">
        <v>8</v>
      </c>
      <c r="BB15" s="148"/>
    </row>
    <row r="16" spans="2:54" x14ac:dyDescent="0.2">
      <c r="B16" s="467" t="s">
        <v>178</v>
      </c>
      <c r="C16" s="468" t="s">
        <v>484</v>
      </c>
      <c r="D16" s="469"/>
      <c r="E16" s="469"/>
      <c r="F16" s="470"/>
      <c r="G16" s="470"/>
      <c r="H16" s="470"/>
      <c r="I16" s="470"/>
      <c r="J16" s="487"/>
      <c r="K16" s="487"/>
      <c r="L16" s="471">
        <f t="shared" si="0"/>
        <v>0</v>
      </c>
      <c r="M16" s="471">
        <f t="shared" si="18"/>
        <v>0.31666666666666665</v>
      </c>
      <c r="N16" s="488">
        <f>IF(Juil!$H$48="x",AV16+Juil!$N$37,AV16)</f>
        <v>9.18333333333333</v>
      </c>
      <c r="O16" s="493" t="str">
        <f t="shared" si="3"/>
        <v>-</v>
      </c>
      <c r="P16" s="489">
        <f t="shared" si="4"/>
        <v>8.8666666666666636</v>
      </c>
      <c r="Q16" s="494">
        <f t="shared" si="5"/>
        <v>0</v>
      </c>
      <c r="R16" s="494">
        <f t="shared" si="6"/>
        <v>0</v>
      </c>
      <c r="S16" s="494">
        <f t="shared" si="7"/>
        <v>0</v>
      </c>
      <c r="T16" s="494">
        <f t="shared" si="8"/>
        <v>0</v>
      </c>
      <c r="U16" s="488">
        <f t="shared" si="9"/>
        <v>0</v>
      </c>
      <c r="V16" s="488">
        <f t="shared" si="34"/>
        <v>0</v>
      </c>
      <c r="W16" s="471">
        <f t="shared" si="10"/>
        <v>0</v>
      </c>
      <c r="X16" s="471">
        <f t="shared" si="11"/>
        <v>0</v>
      </c>
      <c r="Y16" s="470"/>
      <c r="Z16" s="470"/>
      <c r="AA16" s="469"/>
      <c r="AB16" s="475">
        <f t="shared" si="19"/>
        <v>0</v>
      </c>
      <c r="AC16" s="475">
        <f t="shared" si="20"/>
        <v>0</v>
      </c>
      <c r="AD16" s="475">
        <f t="shared" si="21"/>
        <v>0</v>
      </c>
      <c r="AE16" s="475">
        <f t="shared" si="22"/>
        <v>0</v>
      </c>
      <c r="AF16" s="476">
        <f t="shared" si="23"/>
        <v>0</v>
      </c>
      <c r="AG16" s="475">
        <f t="shared" si="24"/>
        <v>0</v>
      </c>
      <c r="AH16" s="476">
        <f t="shared" si="25"/>
        <v>0</v>
      </c>
      <c r="AI16" s="475">
        <f t="shared" si="26"/>
        <v>0</v>
      </c>
      <c r="AJ16" s="477">
        <f>IF((D16&lt;&gt;""),VLOOKUP(D16,Données!$E$36:$H$59,4,FALSE),)</f>
        <v>0</v>
      </c>
      <c r="AK16" s="477">
        <f t="shared" si="27"/>
        <v>0</v>
      </c>
      <c r="AL16" s="478">
        <f t="shared" si="28"/>
        <v>0</v>
      </c>
      <c r="AM16" s="479">
        <f t="shared" si="29"/>
        <v>0</v>
      </c>
      <c r="AN16" s="480">
        <f t="shared" si="12"/>
        <v>0</v>
      </c>
      <c r="AO16" s="477">
        <f t="shared" si="13"/>
        <v>0</v>
      </c>
      <c r="AP16" s="481">
        <f t="shared" si="30"/>
        <v>0</v>
      </c>
      <c r="AQ16" s="481">
        <f t="shared" si="31"/>
        <v>0</v>
      </c>
      <c r="AR16" s="481">
        <f t="shared" si="32"/>
        <v>0</v>
      </c>
      <c r="AS16" s="481">
        <f t="shared" si="33"/>
        <v>0</v>
      </c>
      <c r="AT16" s="479">
        <f t="shared" si="14"/>
        <v>0</v>
      </c>
      <c r="AU16" s="479">
        <f t="shared" si="15"/>
        <v>0</v>
      </c>
      <c r="AV16" s="471">
        <f>IF(Données!$H$8="x",AW16,AX16)</f>
        <v>2.5333333333333332</v>
      </c>
      <c r="AW16" s="471">
        <f t="shared" si="2"/>
        <v>1.2666666666666666</v>
      </c>
      <c r="AX16" s="471">
        <f t="shared" si="35"/>
        <v>2.5333333333333332</v>
      </c>
      <c r="AY16" s="467" t="str">
        <f t="shared" si="17"/>
        <v>Me</v>
      </c>
      <c r="AZ16" s="7">
        <f>IF((S40="M1.2")*AND(S41&lt;&gt;""),VLOOKUP(S41,Échelle!$AR$5:$AS$31,2),)</f>
        <v>0</v>
      </c>
      <c r="BA16" s="4" t="s">
        <v>9</v>
      </c>
      <c r="BB16" s="148"/>
    </row>
    <row r="17" spans="1:54" x14ac:dyDescent="0.2">
      <c r="B17" s="467" t="s">
        <v>180</v>
      </c>
      <c r="C17" s="468" t="s">
        <v>485</v>
      </c>
      <c r="D17" s="469"/>
      <c r="E17" s="469"/>
      <c r="F17" s="470"/>
      <c r="G17" s="470"/>
      <c r="H17" s="470"/>
      <c r="I17" s="470"/>
      <c r="J17" s="487"/>
      <c r="K17" s="487"/>
      <c r="L17" s="471">
        <f t="shared" si="0"/>
        <v>0</v>
      </c>
      <c r="M17" s="471">
        <f t="shared" si="18"/>
        <v>0.31666666666666665</v>
      </c>
      <c r="N17" s="488">
        <f>IF(Juil!$H$48="x",AV17+Juil!$N$37,AV17)</f>
        <v>9.4999999999999964</v>
      </c>
      <c r="O17" s="493" t="str">
        <f t="shared" si="3"/>
        <v>-</v>
      </c>
      <c r="P17" s="489">
        <f t="shared" si="4"/>
        <v>9.18333333333333</v>
      </c>
      <c r="Q17" s="494">
        <f t="shared" si="5"/>
        <v>0</v>
      </c>
      <c r="R17" s="494">
        <f t="shared" si="6"/>
        <v>0</v>
      </c>
      <c r="S17" s="494">
        <f t="shared" si="7"/>
        <v>0</v>
      </c>
      <c r="T17" s="494">
        <f t="shared" si="8"/>
        <v>0</v>
      </c>
      <c r="U17" s="488">
        <f t="shared" si="9"/>
        <v>0</v>
      </c>
      <c r="V17" s="488">
        <f t="shared" si="34"/>
        <v>0</v>
      </c>
      <c r="W17" s="471">
        <f t="shared" si="10"/>
        <v>0</v>
      </c>
      <c r="X17" s="471">
        <f t="shared" si="11"/>
        <v>0</v>
      </c>
      <c r="Y17" s="470"/>
      <c r="Z17" s="470"/>
      <c r="AA17" s="469"/>
      <c r="AB17" s="475">
        <f t="shared" si="19"/>
        <v>0</v>
      </c>
      <c r="AC17" s="475">
        <f t="shared" si="20"/>
        <v>0</v>
      </c>
      <c r="AD17" s="475">
        <f t="shared" si="21"/>
        <v>0</v>
      </c>
      <c r="AE17" s="475">
        <f t="shared" si="22"/>
        <v>0</v>
      </c>
      <c r="AF17" s="476">
        <f t="shared" si="23"/>
        <v>0</v>
      </c>
      <c r="AG17" s="475">
        <f t="shared" si="24"/>
        <v>0</v>
      </c>
      <c r="AH17" s="476">
        <f t="shared" si="25"/>
        <v>0</v>
      </c>
      <c r="AI17" s="475">
        <f t="shared" si="26"/>
        <v>0</v>
      </c>
      <c r="AJ17" s="477">
        <f>IF((D17&lt;&gt;""),VLOOKUP(D17,Données!$E$36:$H$59,4,FALSE),)</f>
        <v>0</v>
      </c>
      <c r="AK17" s="477">
        <f t="shared" si="27"/>
        <v>0</v>
      </c>
      <c r="AL17" s="478">
        <f t="shared" si="28"/>
        <v>0</v>
      </c>
      <c r="AM17" s="479">
        <f t="shared" si="29"/>
        <v>0</v>
      </c>
      <c r="AN17" s="480">
        <f t="shared" si="12"/>
        <v>0</v>
      </c>
      <c r="AO17" s="477">
        <f t="shared" si="13"/>
        <v>0</v>
      </c>
      <c r="AP17" s="481">
        <f t="shared" si="30"/>
        <v>0</v>
      </c>
      <c r="AQ17" s="481">
        <f t="shared" si="31"/>
        <v>0</v>
      </c>
      <c r="AR17" s="481">
        <f t="shared" si="32"/>
        <v>0</v>
      </c>
      <c r="AS17" s="481">
        <f t="shared" si="33"/>
        <v>0</v>
      </c>
      <c r="AT17" s="479">
        <f t="shared" si="14"/>
        <v>0</v>
      </c>
      <c r="AU17" s="479">
        <f t="shared" si="15"/>
        <v>0</v>
      </c>
      <c r="AV17" s="471">
        <f>IF(Données!$H$8="x",AW17,AX17)</f>
        <v>2.8499999999999996</v>
      </c>
      <c r="AW17" s="471">
        <f t="shared" si="2"/>
        <v>1.4249999999999998</v>
      </c>
      <c r="AX17" s="471">
        <f t="shared" si="35"/>
        <v>2.8499999999999996</v>
      </c>
      <c r="AY17" s="467" t="str">
        <f t="shared" si="17"/>
        <v>Je</v>
      </c>
      <c r="AZ17" s="7">
        <f>IF((S40="M2.1")*AND(S41&lt;&gt;""),VLOOKUP(S41,Échelle!$AU$5:$AV$31,2),)</f>
        <v>0</v>
      </c>
      <c r="BA17" s="4" t="s">
        <v>10</v>
      </c>
      <c r="BB17" s="148"/>
    </row>
    <row r="18" spans="1:54" x14ac:dyDescent="0.2">
      <c r="B18" s="467" t="s">
        <v>182</v>
      </c>
      <c r="C18" s="468" t="s">
        <v>486</v>
      </c>
      <c r="D18" s="469"/>
      <c r="E18" s="469"/>
      <c r="F18" s="470"/>
      <c r="G18" s="470"/>
      <c r="H18" s="470"/>
      <c r="I18" s="470"/>
      <c r="J18" s="487"/>
      <c r="K18" s="487"/>
      <c r="L18" s="471">
        <f t="shared" si="0"/>
        <v>0</v>
      </c>
      <c r="M18" s="471">
        <f>M17+L18</f>
        <v>0.31666666666666665</v>
      </c>
      <c r="N18" s="488">
        <f>IF(Juil!$H$48="x",AV18+Juil!$N$37,AV18)</f>
        <v>9.8166666666666629</v>
      </c>
      <c r="O18" s="493" t="str">
        <f t="shared" si="3"/>
        <v>-</v>
      </c>
      <c r="P18" s="489">
        <f t="shared" si="4"/>
        <v>9.4999999999999964</v>
      </c>
      <c r="Q18" s="494">
        <f t="shared" si="5"/>
        <v>0</v>
      </c>
      <c r="R18" s="494">
        <f t="shared" si="6"/>
        <v>0</v>
      </c>
      <c r="S18" s="494">
        <f t="shared" si="7"/>
        <v>0</v>
      </c>
      <c r="T18" s="494">
        <f t="shared" si="8"/>
        <v>0</v>
      </c>
      <c r="U18" s="488">
        <f t="shared" si="9"/>
        <v>0</v>
      </c>
      <c r="V18" s="488">
        <f t="shared" si="34"/>
        <v>0</v>
      </c>
      <c r="W18" s="471">
        <f t="shared" si="10"/>
        <v>0</v>
      </c>
      <c r="X18" s="471">
        <f t="shared" si="11"/>
        <v>0</v>
      </c>
      <c r="Y18" s="470"/>
      <c r="Z18" s="470"/>
      <c r="AA18" s="469"/>
      <c r="AB18" s="475">
        <f t="shared" si="19"/>
        <v>0</v>
      </c>
      <c r="AC18" s="475">
        <f t="shared" si="20"/>
        <v>0</v>
      </c>
      <c r="AD18" s="475">
        <f t="shared" si="21"/>
        <v>0</v>
      </c>
      <c r="AE18" s="475">
        <f t="shared" si="22"/>
        <v>0</v>
      </c>
      <c r="AF18" s="476">
        <f t="shared" si="23"/>
        <v>0</v>
      </c>
      <c r="AG18" s="475">
        <f t="shared" si="24"/>
        <v>0</v>
      </c>
      <c r="AH18" s="476">
        <f t="shared" si="25"/>
        <v>0</v>
      </c>
      <c r="AI18" s="475">
        <f t="shared" si="26"/>
        <v>0</v>
      </c>
      <c r="AJ18" s="477">
        <f>IF((D18&lt;&gt;""),VLOOKUP(D18,Données!$E$36:$H$59,4,FALSE),)</f>
        <v>0</v>
      </c>
      <c r="AK18" s="477">
        <f t="shared" si="27"/>
        <v>0</v>
      </c>
      <c r="AL18" s="478">
        <f t="shared" si="28"/>
        <v>0</v>
      </c>
      <c r="AM18" s="479">
        <f t="shared" si="29"/>
        <v>0</v>
      </c>
      <c r="AN18" s="480">
        <f t="shared" si="12"/>
        <v>0</v>
      </c>
      <c r="AO18" s="477">
        <f t="shared" si="13"/>
        <v>0</v>
      </c>
      <c r="AP18" s="481">
        <f t="shared" si="30"/>
        <v>0</v>
      </c>
      <c r="AQ18" s="481">
        <f t="shared" si="31"/>
        <v>0</v>
      </c>
      <c r="AR18" s="481">
        <f t="shared" si="32"/>
        <v>0</v>
      </c>
      <c r="AS18" s="481">
        <f t="shared" si="33"/>
        <v>0</v>
      </c>
      <c r="AT18" s="479">
        <f t="shared" si="14"/>
        <v>0</v>
      </c>
      <c r="AU18" s="479">
        <f t="shared" si="15"/>
        <v>0</v>
      </c>
      <c r="AV18" s="471">
        <f>IF(Données!$H$8="x",AW18,AX18)</f>
        <v>3.1666666666666661</v>
      </c>
      <c r="AW18" s="471">
        <f t="shared" si="2"/>
        <v>1.583333333333333</v>
      </c>
      <c r="AX18" s="471">
        <f t="shared" si="35"/>
        <v>3.1666666666666661</v>
      </c>
      <c r="AY18" s="467" t="str">
        <f t="shared" si="17"/>
        <v>Ve</v>
      </c>
      <c r="AZ18" s="7">
        <f>IF((S40="M2.2")*AND(S41&lt;&gt;""),VLOOKUP(S41,Échelle!$AX$5:$AY$31,2),)</f>
        <v>0</v>
      </c>
      <c r="BA18" s="4" t="s">
        <v>11</v>
      </c>
      <c r="BB18" s="148"/>
    </row>
    <row r="19" spans="1:54" x14ac:dyDescent="0.2">
      <c r="B19" s="403" t="s">
        <v>184</v>
      </c>
      <c r="C19" s="412" t="s">
        <v>487</v>
      </c>
      <c r="D19" s="411"/>
      <c r="E19" s="411"/>
      <c r="F19" s="401"/>
      <c r="G19" s="401"/>
      <c r="H19" s="401"/>
      <c r="I19" s="401"/>
      <c r="J19" s="406"/>
      <c r="K19" s="406"/>
      <c r="L19" s="402">
        <f>(G19-F19)+(I19-H19)+(K19-J19)</f>
        <v>0</v>
      </c>
      <c r="M19" s="402">
        <f>M18+L19</f>
        <v>0.31666666666666665</v>
      </c>
      <c r="N19" s="407">
        <f>IF(Juil!$H$48="x",AV19+Juil!$N$37,AV19)</f>
        <v>9.8166666666666629</v>
      </c>
      <c r="O19" s="414" t="str">
        <f t="shared" si="3"/>
        <v>-</v>
      </c>
      <c r="P19" s="409">
        <f t="shared" si="4"/>
        <v>9.4999999999999964</v>
      </c>
      <c r="Q19" s="415">
        <f t="shared" si="5"/>
        <v>0</v>
      </c>
      <c r="R19" s="415">
        <f t="shared" si="6"/>
        <v>0</v>
      </c>
      <c r="S19" s="415">
        <f t="shared" si="7"/>
        <v>0</v>
      </c>
      <c r="T19" s="415">
        <f t="shared" si="8"/>
        <v>0</v>
      </c>
      <c r="U19" s="407">
        <f t="shared" si="9"/>
        <v>0</v>
      </c>
      <c r="V19" s="407">
        <f>L19</f>
        <v>0</v>
      </c>
      <c r="W19" s="402">
        <f t="shared" si="10"/>
        <v>0</v>
      </c>
      <c r="X19" s="402">
        <f t="shared" si="11"/>
        <v>0</v>
      </c>
      <c r="Y19" s="401"/>
      <c r="Z19" s="401"/>
      <c r="AA19" s="411"/>
      <c r="AB19" s="420">
        <f t="shared" si="19"/>
        <v>0</v>
      </c>
      <c r="AC19" s="420">
        <f t="shared" si="20"/>
        <v>0</v>
      </c>
      <c r="AD19" s="420">
        <f t="shared" si="21"/>
        <v>0</v>
      </c>
      <c r="AE19" s="420">
        <f t="shared" si="22"/>
        <v>0</v>
      </c>
      <c r="AF19" s="421">
        <f t="shared" si="23"/>
        <v>0</v>
      </c>
      <c r="AG19" s="420">
        <f t="shared" si="24"/>
        <v>0</v>
      </c>
      <c r="AH19" s="421">
        <f t="shared" si="25"/>
        <v>0</v>
      </c>
      <c r="AI19" s="420">
        <f t="shared" si="26"/>
        <v>0</v>
      </c>
      <c r="AJ19" s="422">
        <f>IF((D19&lt;&gt;""),VLOOKUP(D19,Données!$E$36:$H$59,4,FALSE),)</f>
        <v>0</v>
      </c>
      <c r="AK19" s="422">
        <f t="shared" si="27"/>
        <v>0</v>
      </c>
      <c r="AL19" s="423">
        <f t="shared" si="28"/>
        <v>0</v>
      </c>
      <c r="AM19" s="424">
        <f t="shared" si="29"/>
        <v>0</v>
      </c>
      <c r="AN19" s="425">
        <f t="shared" si="12"/>
        <v>0</v>
      </c>
      <c r="AO19" s="422">
        <f t="shared" si="13"/>
        <v>0</v>
      </c>
      <c r="AP19" s="426">
        <f t="shared" si="30"/>
        <v>0</v>
      </c>
      <c r="AQ19" s="426">
        <f t="shared" si="31"/>
        <v>0</v>
      </c>
      <c r="AR19" s="426">
        <f t="shared" si="32"/>
        <v>0</v>
      </c>
      <c r="AS19" s="426">
        <f t="shared" si="33"/>
        <v>0</v>
      </c>
      <c r="AT19" s="424">
        <f t="shared" si="14"/>
        <v>0</v>
      </c>
      <c r="AU19" s="424">
        <f t="shared" si="15"/>
        <v>0</v>
      </c>
      <c r="AV19" s="402">
        <f>IF(Données!$H$8="x",AW19,AX19)</f>
        <v>3.1666666666666661</v>
      </c>
      <c r="AW19" s="402">
        <f t="shared" si="2"/>
        <v>1.583333333333333</v>
      </c>
      <c r="AX19" s="402">
        <f>AX18</f>
        <v>3.1666666666666661</v>
      </c>
      <c r="AY19" s="403" t="str">
        <f t="shared" si="17"/>
        <v>Sa</v>
      </c>
      <c r="AZ19" s="423">
        <f>IF((S40="M3.1")*AND(S41&lt;&gt;""),VLOOKUP(S41,Échelle!$BA$5:$BB$31,2),)</f>
        <v>0</v>
      </c>
      <c r="BA19" s="424" t="s">
        <v>12</v>
      </c>
      <c r="BB19" s="148"/>
    </row>
    <row r="20" spans="1:54" s="417" customFormat="1" x14ac:dyDescent="0.2">
      <c r="A20" s="56"/>
      <c r="B20" s="403" t="s">
        <v>186</v>
      </c>
      <c r="C20" s="412" t="s">
        <v>488</v>
      </c>
      <c r="D20" s="411"/>
      <c r="E20" s="411"/>
      <c r="F20" s="401"/>
      <c r="G20" s="401"/>
      <c r="H20" s="401"/>
      <c r="I20" s="401"/>
      <c r="J20" s="406"/>
      <c r="K20" s="406"/>
      <c r="L20" s="402">
        <f>(G20-F20)+(I20-H20)+(K20-J20)</f>
        <v>0</v>
      </c>
      <c r="M20" s="402">
        <f t="shared" si="18"/>
        <v>0.31666666666666665</v>
      </c>
      <c r="N20" s="407">
        <f>IF(Juil!$H$48="x",AV20+Juil!$N$37,AV20)</f>
        <v>9.8166666666666629</v>
      </c>
      <c r="O20" s="414" t="str">
        <f t="shared" si="3"/>
        <v>-</v>
      </c>
      <c r="P20" s="409">
        <f t="shared" si="4"/>
        <v>9.4999999999999964</v>
      </c>
      <c r="Q20" s="415">
        <f t="shared" si="5"/>
        <v>0</v>
      </c>
      <c r="R20" s="415">
        <f t="shared" si="6"/>
        <v>0</v>
      </c>
      <c r="S20" s="415">
        <f t="shared" si="7"/>
        <v>0</v>
      </c>
      <c r="T20" s="415">
        <f t="shared" si="8"/>
        <v>0</v>
      </c>
      <c r="U20" s="407">
        <f t="shared" si="9"/>
        <v>0</v>
      </c>
      <c r="V20" s="407">
        <f>L20</f>
        <v>0</v>
      </c>
      <c r="W20" s="402">
        <f t="shared" si="10"/>
        <v>0</v>
      </c>
      <c r="X20" s="402">
        <f t="shared" si="11"/>
        <v>0</v>
      </c>
      <c r="Y20" s="401"/>
      <c r="Z20" s="401"/>
      <c r="AA20" s="411"/>
      <c r="AB20" s="420">
        <f t="shared" si="19"/>
        <v>0</v>
      </c>
      <c r="AC20" s="420">
        <f t="shared" si="20"/>
        <v>0</v>
      </c>
      <c r="AD20" s="420">
        <f t="shared" si="21"/>
        <v>0</v>
      </c>
      <c r="AE20" s="420">
        <f t="shared" si="22"/>
        <v>0</v>
      </c>
      <c r="AF20" s="421">
        <f t="shared" si="23"/>
        <v>0</v>
      </c>
      <c r="AG20" s="420">
        <f t="shared" si="24"/>
        <v>0</v>
      </c>
      <c r="AH20" s="421">
        <f t="shared" si="25"/>
        <v>0</v>
      </c>
      <c r="AI20" s="420">
        <f t="shared" si="26"/>
        <v>0</v>
      </c>
      <c r="AJ20" s="422">
        <f>IF((D20&lt;&gt;""),VLOOKUP(D20,Données!$E$36:$H$59,4,FALSE),)</f>
        <v>0</v>
      </c>
      <c r="AK20" s="422">
        <f t="shared" si="27"/>
        <v>0</v>
      </c>
      <c r="AL20" s="423">
        <f t="shared" si="28"/>
        <v>0</v>
      </c>
      <c r="AM20" s="424">
        <f t="shared" si="29"/>
        <v>0</v>
      </c>
      <c r="AN20" s="425">
        <f t="shared" si="12"/>
        <v>0</v>
      </c>
      <c r="AO20" s="422">
        <f t="shared" si="13"/>
        <v>0</v>
      </c>
      <c r="AP20" s="426">
        <f t="shared" si="30"/>
        <v>0</v>
      </c>
      <c r="AQ20" s="426">
        <f t="shared" si="31"/>
        <v>0</v>
      </c>
      <c r="AR20" s="426">
        <f t="shared" si="32"/>
        <v>0</v>
      </c>
      <c r="AS20" s="426">
        <f t="shared" si="33"/>
        <v>0</v>
      </c>
      <c r="AT20" s="424">
        <f t="shared" si="14"/>
        <v>0</v>
      </c>
      <c r="AU20" s="424">
        <f t="shared" si="15"/>
        <v>0</v>
      </c>
      <c r="AV20" s="402">
        <f>IF(Données!$H$8="x",AW20,AX20)</f>
        <v>3.1666666666666661</v>
      </c>
      <c r="AW20" s="402">
        <f t="shared" si="2"/>
        <v>1.583333333333333</v>
      </c>
      <c r="AX20" s="402">
        <f>AX19</f>
        <v>3.1666666666666661</v>
      </c>
      <c r="AY20" s="403" t="str">
        <f t="shared" si="17"/>
        <v>Di</v>
      </c>
      <c r="AZ20" s="423">
        <f>IF((S40="M3.2")*AND(S41&lt;&gt;""),VLOOKUP(S41,Échelle!$BD$5:$BE$31,2),)</f>
        <v>0</v>
      </c>
      <c r="BA20" s="424" t="s">
        <v>13</v>
      </c>
      <c r="BB20" s="416"/>
    </row>
    <row r="21" spans="1:54" x14ac:dyDescent="0.2">
      <c r="B21" s="430" t="s">
        <v>188</v>
      </c>
      <c r="C21" s="431" t="s">
        <v>489</v>
      </c>
      <c r="D21" s="432" t="s">
        <v>84</v>
      </c>
      <c r="E21" s="432"/>
      <c r="F21" s="433"/>
      <c r="G21" s="433"/>
      <c r="H21" s="433"/>
      <c r="I21" s="433"/>
      <c r="J21" s="438"/>
      <c r="K21" s="438"/>
      <c r="L21" s="434">
        <f t="shared" si="0"/>
        <v>0.31666666666666665</v>
      </c>
      <c r="M21" s="434">
        <f t="shared" si="18"/>
        <v>0.6333333333333333</v>
      </c>
      <c r="N21" s="439">
        <f>IF(Juil!$H$48="x",AV21+Juil!$N$37,AV21)</f>
        <v>10.133333333333329</v>
      </c>
      <c r="O21" s="440" t="str">
        <f t="shared" si="3"/>
        <v>-</v>
      </c>
      <c r="P21" s="441">
        <f t="shared" si="4"/>
        <v>9.4999999999999964</v>
      </c>
      <c r="Q21" s="436">
        <f t="shared" si="5"/>
        <v>0</v>
      </c>
      <c r="R21" s="436">
        <f t="shared" si="6"/>
        <v>0</v>
      </c>
      <c r="S21" s="436">
        <f t="shared" si="7"/>
        <v>0</v>
      </c>
      <c r="T21" s="436">
        <f t="shared" si="8"/>
        <v>0</v>
      </c>
      <c r="U21" s="439">
        <f t="shared" si="9"/>
        <v>0</v>
      </c>
      <c r="V21" s="439">
        <f t="shared" ref="V21:V25" si="36">IF(D21="F",L21,0)</f>
        <v>0</v>
      </c>
      <c r="W21" s="434">
        <f t="shared" si="10"/>
        <v>0</v>
      </c>
      <c r="X21" s="434">
        <f t="shared" si="11"/>
        <v>0</v>
      </c>
      <c r="Y21" s="432"/>
      <c r="Z21" s="433"/>
      <c r="AA21" s="433"/>
      <c r="AB21" s="442">
        <f t="shared" si="19"/>
        <v>0</v>
      </c>
      <c r="AC21" s="442">
        <f t="shared" si="20"/>
        <v>0</v>
      </c>
      <c r="AD21" s="442">
        <f t="shared" si="21"/>
        <v>0</v>
      </c>
      <c r="AE21" s="442">
        <f t="shared" si="22"/>
        <v>0</v>
      </c>
      <c r="AF21" s="443">
        <f t="shared" si="23"/>
        <v>0</v>
      </c>
      <c r="AG21" s="442">
        <f t="shared" si="24"/>
        <v>0</v>
      </c>
      <c r="AH21" s="443">
        <f t="shared" si="25"/>
        <v>0</v>
      </c>
      <c r="AI21" s="442">
        <f t="shared" si="26"/>
        <v>0</v>
      </c>
      <c r="AJ21" s="444">
        <f>IF((D21&lt;&gt;""),VLOOKUP(D21,Données!$E$36:$H$59,4,FALSE),)</f>
        <v>0.31666666666666665</v>
      </c>
      <c r="AK21" s="444">
        <f t="shared" si="27"/>
        <v>0</v>
      </c>
      <c r="AL21" s="445" t="str">
        <f t="shared" si="28"/>
        <v>FC</v>
      </c>
      <c r="AM21" s="446">
        <f t="shared" si="29"/>
        <v>0</v>
      </c>
      <c r="AN21" s="447">
        <f t="shared" si="12"/>
        <v>0</v>
      </c>
      <c r="AO21" s="444">
        <f t="shared" si="13"/>
        <v>0</v>
      </c>
      <c r="AP21" s="448">
        <f t="shared" si="30"/>
        <v>0</v>
      </c>
      <c r="AQ21" s="448">
        <f t="shared" si="31"/>
        <v>0</v>
      </c>
      <c r="AR21" s="448">
        <f t="shared" si="32"/>
        <v>0</v>
      </c>
      <c r="AS21" s="448">
        <f t="shared" si="33"/>
        <v>0</v>
      </c>
      <c r="AT21" s="446">
        <f t="shared" si="14"/>
        <v>0</v>
      </c>
      <c r="AU21" s="446">
        <f t="shared" si="15"/>
        <v>0</v>
      </c>
      <c r="AV21" s="434">
        <f>IF(Données!$H$8="x",AW21,AX21)</f>
        <v>3.4833333333333325</v>
      </c>
      <c r="AW21" s="434">
        <f t="shared" si="2"/>
        <v>1.7416666666666663</v>
      </c>
      <c r="AX21" s="434">
        <f t="shared" ref="AX21:AX25" si="37">IF(D21="L",AX20,(AX20+"07:36"))</f>
        <v>3.4833333333333325</v>
      </c>
      <c r="AY21" s="430" t="str">
        <f t="shared" si="17"/>
        <v>Lu</v>
      </c>
      <c r="AZ21" s="445">
        <f>IF((S40="M4.1")*AND(S41&lt;&gt;""),VLOOKUP(S41,Échelle!$BJ$39:$BK$68,2),)</f>
        <v>33124</v>
      </c>
      <c r="BA21" s="446" t="s">
        <v>14</v>
      </c>
      <c r="BB21" s="148"/>
    </row>
    <row r="22" spans="1:54" x14ac:dyDescent="0.2">
      <c r="B22" s="467" t="s">
        <v>176</v>
      </c>
      <c r="C22" s="468" t="s">
        <v>490</v>
      </c>
      <c r="D22" s="469"/>
      <c r="E22" s="469"/>
      <c r="F22" s="470"/>
      <c r="G22" s="470"/>
      <c r="H22" s="470"/>
      <c r="I22" s="470"/>
      <c r="J22" s="487"/>
      <c r="K22" s="487"/>
      <c r="L22" s="471">
        <f t="shared" si="0"/>
        <v>0</v>
      </c>
      <c r="M22" s="471">
        <f t="shared" si="18"/>
        <v>0.6333333333333333</v>
      </c>
      <c r="N22" s="488">
        <f>IF(Juil!$H$48="x",AV22+Juil!$N$37,AV22)</f>
        <v>10.449999999999996</v>
      </c>
      <c r="O22" s="493" t="str">
        <f t="shared" si="3"/>
        <v>-</v>
      </c>
      <c r="P22" s="489">
        <f t="shared" si="4"/>
        <v>9.8166666666666629</v>
      </c>
      <c r="Q22" s="494">
        <f t="shared" si="5"/>
        <v>0</v>
      </c>
      <c r="R22" s="494">
        <f t="shared" si="6"/>
        <v>0</v>
      </c>
      <c r="S22" s="494">
        <f t="shared" si="7"/>
        <v>0</v>
      </c>
      <c r="T22" s="494">
        <f t="shared" si="8"/>
        <v>0</v>
      </c>
      <c r="U22" s="488">
        <f t="shared" si="9"/>
        <v>0</v>
      </c>
      <c r="V22" s="488">
        <f t="shared" si="36"/>
        <v>0</v>
      </c>
      <c r="W22" s="471">
        <f t="shared" si="10"/>
        <v>0</v>
      </c>
      <c r="X22" s="471">
        <f t="shared" si="11"/>
        <v>0</v>
      </c>
      <c r="Y22" s="470"/>
      <c r="Z22" s="470"/>
      <c r="AA22" s="469"/>
      <c r="AB22" s="475">
        <f t="shared" si="19"/>
        <v>0</v>
      </c>
      <c r="AC22" s="475">
        <f t="shared" si="20"/>
        <v>0</v>
      </c>
      <c r="AD22" s="475">
        <f t="shared" si="21"/>
        <v>0</v>
      </c>
      <c r="AE22" s="475">
        <f t="shared" si="22"/>
        <v>0</v>
      </c>
      <c r="AF22" s="476">
        <f t="shared" si="23"/>
        <v>0</v>
      </c>
      <c r="AG22" s="475">
        <f t="shared" si="24"/>
        <v>0</v>
      </c>
      <c r="AH22" s="476">
        <f t="shared" si="25"/>
        <v>0</v>
      </c>
      <c r="AI22" s="475">
        <f t="shared" si="26"/>
        <v>0</v>
      </c>
      <c r="AJ22" s="477">
        <f>IF((D22&lt;&gt;""),VLOOKUP(D22,Données!$E$36:$H$59,4,FALSE),)</f>
        <v>0</v>
      </c>
      <c r="AK22" s="477">
        <f t="shared" si="27"/>
        <v>0</v>
      </c>
      <c r="AL22" s="478">
        <f t="shared" si="28"/>
        <v>0</v>
      </c>
      <c r="AM22" s="479">
        <f t="shared" si="29"/>
        <v>0</v>
      </c>
      <c r="AN22" s="480">
        <f t="shared" si="12"/>
        <v>0</v>
      </c>
      <c r="AO22" s="477">
        <f t="shared" si="13"/>
        <v>0</v>
      </c>
      <c r="AP22" s="481">
        <f t="shared" si="30"/>
        <v>0</v>
      </c>
      <c r="AQ22" s="481">
        <f t="shared" si="31"/>
        <v>0</v>
      </c>
      <c r="AR22" s="481">
        <f t="shared" si="32"/>
        <v>0</v>
      </c>
      <c r="AS22" s="481">
        <f t="shared" si="33"/>
        <v>0</v>
      </c>
      <c r="AT22" s="479">
        <f t="shared" si="14"/>
        <v>0</v>
      </c>
      <c r="AU22" s="479">
        <f t="shared" si="15"/>
        <v>0</v>
      </c>
      <c r="AV22" s="471">
        <f>IF(Données!$H$8="x",AW22,AX22)</f>
        <v>3.7999999999999989</v>
      </c>
      <c r="AW22" s="471">
        <f t="shared" si="2"/>
        <v>1.8999999999999995</v>
      </c>
      <c r="AX22" s="471">
        <f t="shared" si="37"/>
        <v>3.7999999999999989</v>
      </c>
      <c r="AY22" s="467" t="str">
        <f t="shared" si="17"/>
        <v>Ma</v>
      </c>
      <c r="AZ22" s="7">
        <f>IF((S40="M4.2")*AND(S41&lt;&gt;""),VLOOKUP(S41,Échelle!$BJ$5:$BK$31,2),)</f>
        <v>0</v>
      </c>
      <c r="BA22" s="4" t="s">
        <v>15</v>
      </c>
      <c r="BB22" s="148"/>
    </row>
    <row r="23" spans="1:54" x14ac:dyDescent="0.2">
      <c r="B23" s="467" t="s">
        <v>178</v>
      </c>
      <c r="C23" s="468" t="s">
        <v>491</v>
      </c>
      <c r="D23" s="469"/>
      <c r="E23" s="469"/>
      <c r="F23" s="470"/>
      <c r="G23" s="470"/>
      <c r="H23" s="470"/>
      <c r="I23" s="470"/>
      <c r="J23" s="487"/>
      <c r="K23" s="487"/>
      <c r="L23" s="471">
        <f t="shared" si="0"/>
        <v>0</v>
      </c>
      <c r="M23" s="471">
        <f t="shared" si="18"/>
        <v>0.6333333333333333</v>
      </c>
      <c r="N23" s="488">
        <f>IF(Juil!$H$48="x",AV23+Juil!$N$37,AV23)</f>
        <v>10.766666666666662</v>
      </c>
      <c r="O23" s="493" t="str">
        <f t="shared" si="3"/>
        <v>-</v>
      </c>
      <c r="P23" s="489">
        <f t="shared" si="4"/>
        <v>10.133333333333329</v>
      </c>
      <c r="Q23" s="494">
        <f t="shared" si="5"/>
        <v>0</v>
      </c>
      <c r="R23" s="494">
        <f t="shared" si="6"/>
        <v>0</v>
      </c>
      <c r="S23" s="494">
        <f t="shared" si="7"/>
        <v>0</v>
      </c>
      <c r="T23" s="494">
        <f t="shared" si="8"/>
        <v>0</v>
      </c>
      <c r="U23" s="488">
        <f t="shared" si="9"/>
        <v>0</v>
      </c>
      <c r="V23" s="488">
        <f t="shared" si="36"/>
        <v>0</v>
      </c>
      <c r="W23" s="471">
        <f t="shared" si="10"/>
        <v>0</v>
      </c>
      <c r="X23" s="471">
        <f t="shared" si="11"/>
        <v>0</v>
      </c>
      <c r="Y23" s="470"/>
      <c r="Z23" s="470"/>
      <c r="AA23" s="469"/>
      <c r="AB23" s="475">
        <f t="shared" si="19"/>
        <v>0</v>
      </c>
      <c r="AC23" s="475">
        <f t="shared" si="20"/>
        <v>0</v>
      </c>
      <c r="AD23" s="475">
        <f t="shared" si="21"/>
        <v>0</v>
      </c>
      <c r="AE23" s="475">
        <f t="shared" si="22"/>
        <v>0</v>
      </c>
      <c r="AF23" s="476">
        <f t="shared" si="23"/>
        <v>0</v>
      </c>
      <c r="AG23" s="475">
        <f t="shared" si="24"/>
        <v>0</v>
      </c>
      <c r="AH23" s="476">
        <f t="shared" si="25"/>
        <v>0</v>
      </c>
      <c r="AI23" s="475">
        <f t="shared" si="26"/>
        <v>0</v>
      </c>
      <c r="AJ23" s="477">
        <f>IF((D23&lt;&gt;""),VLOOKUP(D23,Données!$E$36:$H$59,4,FALSE),)</f>
        <v>0</v>
      </c>
      <c r="AK23" s="477">
        <f t="shared" si="27"/>
        <v>0</v>
      </c>
      <c r="AL23" s="478">
        <f t="shared" si="28"/>
        <v>0</v>
      </c>
      <c r="AM23" s="479">
        <f t="shared" si="29"/>
        <v>0</v>
      </c>
      <c r="AN23" s="480">
        <f t="shared" si="12"/>
        <v>0</v>
      </c>
      <c r="AO23" s="477">
        <f t="shared" si="13"/>
        <v>0</v>
      </c>
      <c r="AP23" s="481">
        <f t="shared" si="30"/>
        <v>0</v>
      </c>
      <c r="AQ23" s="481">
        <f t="shared" si="31"/>
        <v>0</v>
      </c>
      <c r="AR23" s="481">
        <f t="shared" si="32"/>
        <v>0</v>
      </c>
      <c r="AS23" s="481">
        <f t="shared" si="33"/>
        <v>0</v>
      </c>
      <c r="AT23" s="479">
        <f t="shared" si="14"/>
        <v>0</v>
      </c>
      <c r="AU23" s="479">
        <f t="shared" si="15"/>
        <v>0</v>
      </c>
      <c r="AV23" s="471">
        <f>IF(Données!$H$8="x",AW23,AX23)</f>
        <v>4.1166666666666654</v>
      </c>
      <c r="AW23" s="471">
        <f t="shared" si="2"/>
        <v>2.0583333333333327</v>
      </c>
      <c r="AX23" s="471">
        <f t="shared" si="37"/>
        <v>4.1166666666666654</v>
      </c>
      <c r="AY23" s="467" t="str">
        <f t="shared" si="17"/>
        <v>Me</v>
      </c>
      <c r="AZ23" s="7">
        <f>IF((S40="M5.1")*AND(S41&lt;&gt;""),VLOOKUP(S41,Échelle!$BM$5:$BN$31,2),)</f>
        <v>0</v>
      </c>
      <c r="BA23" s="4" t="s">
        <v>16</v>
      </c>
      <c r="BB23" s="148"/>
    </row>
    <row r="24" spans="1:54" x14ac:dyDescent="0.2">
      <c r="B24" s="467" t="s">
        <v>180</v>
      </c>
      <c r="C24" s="468" t="s">
        <v>492</v>
      </c>
      <c r="D24" s="469"/>
      <c r="E24" s="469"/>
      <c r="F24" s="470"/>
      <c r="G24" s="470"/>
      <c r="H24" s="470"/>
      <c r="I24" s="470"/>
      <c r="J24" s="487"/>
      <c r="K24" s="487"/>
      <c r="L24" s="471">
        <f t="shared" si="0"/>
        <v>0</v>
      </c>
      <c r="M24" s="471">
        <f t="shared" si="18"/>
        <v>0.6333333333333333</v>
      </c>
      <c r="N24" s="488">
        <f>IF(Juil!$H$48="x",AV24+Juil!$N$37,AV24)</f>
        <v>11.083333333333329</v>
      </c>
      <c r="O24" s="493" t="str">
        <f t="shared" si="3"/>
        <v>-</v>
      </c>
      <c r="P24" s="489">
        <f t="shared" si="4"/>
        <v>10.449999999999996</v>
      </c>
      <c r="Q24" s="494">
        <f t="shared" si="5"/>
        <v>0</v>
      </c>
      <c r="R24" s="494">
        <f t="shared" si="6"/>
        <v>0</v>
      </c>
      <c r="S24" s="494">
        <f t="shared" si="7"/>
        <v>0</v>
      </c>
      <c r="T24" s="494">
        <f t="shared" si="8"/>
        <v>0</v>
      </c>
      <c r="U24" s="488">
        <f t="shared" si="9"/>
        <v>0</v>
      </c>
      <c r="V24" s="488">
        <f t="shared" si="36"/>
        <v>0</v>
      </c>
      <c r="W24" s="471">
        <f t="shared" si="10"/>
        <v>0</v>
      </c>
      <c r="X24" s="471">
        <f t="shared" si="11"/>
        <v>0</v>
      </c>
      <c r="Y24" s="470"/>
      <c r="Z24" s="470"/>
      <c r="AA24" s="469"/>
      <c r="AB24" s="475">
        <f t="shared" si="19"/>
        <v>0</v>
      </c>
      <c r="AC24" s="475">
        <f t="shared" si="20"/>
        <v>0</v>
      </c>
      <c r="AD24" s="475">
        <f t="shared" si="21"/>
        <v>0</v>
      </c>
      <c r="AE24" s="475">
        <f t="shared" si="22"/>
        <v>0</v>
      </c>
      <c r="AF24" s="476">
        <f t="shared" si="23"/>
        <v>0</v>
      </c>
      <c r="AG24" s="475">
        <f t="shared" si="24"/>
        <v>0</v>
      </c>
      <c r="AH24" s="476">
        <f t="shared" si="25"/>
        <v>0</v>
      </c>
      <c r="AI24" s="475">
        <f t="shared" si="26"/>
        <v>0</v>
      </c>
      <c r="AJ24" s="477">
        <f>IF((D24&lt;&gt;""),VLOOKUP(D24,Données!$E$36:$H$59,4,FALSE),)</f>
        <v>0</v>
      </c>
      <c r="AK24" s="477">
        <f t="shared" si="27"/>
        <v>0</v>
      </c>
      <c r="AL24" s="478">
        <f t="shared" si="28"/>
        <v>0</v>
      </c>
      <c r="AM24" s="479">
        <f t="shared" si="29"/>
        <v>0</v>
      </c>
      <c r="AN24" s="480">
        <f t="shared" si="12"/>
        <v>0</v>
      </c>
      <c r="AO24" s="477">
        <f t="shared" si="13"/>
        <v>0</v>
      </c>
      <c r="AP24" s="481">
        <f t="shared" si="30"/>
        <v>0</v>
      </c>
      <c r="AQ24" s="481">
        <f t="shared" si="31"/>
        <v>0</v>
      </c>
      <c r="AR24" s="481">
        <f t="shared" si="32"/>
        <v>0</v>
      </c>
      <c r="AS24" s="481">
        <f t="shared" si="33"/>
        <v>0</v>
      </c>
      <c r="AT24" s="479">
        <f t="shared" si="14"/>
        <v>0</v>
      </c>
      <c r="AU24" s="479">
        <f t="shared" si="15"/>
        <v>0</v>
      </c>
      <c r="AV24" s="471">
        <f>IF(Données!$H$8="x",AW24,AX24)</f>
        <v>4.4333333333333318</v>
      </c>
      <c r="AW24" s="471">
        <f t="shared" si="2"/>
        <v>2.2166666666666659</v>
      </c>
      <c r="AX24" s="471">
        <f t="shared" si="37"/>
        <v>4.4333333333333318</v>
      </c>
      <c r="AY24" s="467" t="str">
        <f t="shared" si="17"/>
        <v>Je</v>
      </c>
      <c r="AZ24" s="7">
        <f>IF((S40="M5.2")*AND(S41&lt;&gt;""),VLOOKUP(S41,Échelle!$BP$5:$BQ$31,2),)</f>
        <v>0</v>
      </c>
      <c r="BA24" s="4" t="s">
        <v>17</v>
      </c>
      <c r="BB24" s="148"/>
    </row>
    <row r="25" spans="1:54" x14ac:dyDescent="0.2">
      <c r="B25" s="467" t="s">
        <v>182</v>
      </c>
      <c r="C25" s="468" t="s">
        <v>493</v>
      </c>
      <c r="D25" s="469"/>
      <c r="E25" s="469"/>
      <c r="F25" s="470"/>
      <c r="G25" s="470"/>
      <c r="H25" s="470"/>
      <c r="I25" s="470"/>
      <c r="J25" s="487"/>
      <c r="K25" s="487"/>
      <c r="L25" s="471">
        <f t="shared" si="0"/>
        <v>0</v>
      </c>
      <c r="M25" s="471">
        <f>M24+L25</f>
        <v>0.6333333333333333</v>
      </c>
      <c r="N25" s="488">
        <f>IF(Juil!$H$48="x",AV25+Juil!$N$37,AV25)</f>
        <v>11.399999999999995</v>
      </c>
      <c r="O25" s="493" t="str">
        <f t="shared" si="3"/>
        <v>-</v>
      </c>
      <c r="P25" s="489">
        <f t="shared" si="4"/>
        <v>10.766666666666662</v>
      </c>
      <c r="Q25" s="494">
        <f t="shared" si="5"/>
        <v>0</v>
      </c>
      <c r="R25" s="494">
        <f t="shared" si="6"/>
        <v>0</v>
      </c>
      <c r="S25" s="494">
        <f t="shared" si="7"/>
        <v>0</v>
      </c>
      <c r="T25" s="494">
        <f t="shared" si="8"/>
        <v>0</v>
      </c>
      <c r="U25" s="488">
        <f t="shared" si="9"/>
        <v>0</v>
      </c>
      <c r="V25" s="488">
        <f t="shared" si="36"/>
        <v>0</v>
      </c>
      <c r="W25" s="471">
        <f t="shared" si="10"/>
        <v>0</v>
      </c>
      <c r="X25" s="471">
        <f t="shared" si="11"/>
        <v>0</v>
      </c>
      <c r="Y25" s="470"/>
      <c r="Z25" s="470"/>
      <c r="AA25" s="469"/>
      <c r="AB25" s="475">
        <f t="shared" si="19"/>
        <v>0</v>
      </c>
      <c r="AC25" s="475">
        <f t="shared" si="20"/>
        <v>0</v>
      </c>
      <c r="AD25" s="475">
        <f t="shared" si="21"/>
        <v>0</v>
      </c>
      <c r="AE25" s="475">
        <f t="shared" si="22"/>
        <v>0</v>
      </c>
      <c r="AF25" s="476">
        <f t="shared" si="23"/>
        <v>0</v>
      </c>
      <c r="AG25" s="475">
        <f t="shared" si="24"/>
        <v>0</v>
      </c>
      <c r="AH25" s="476">
        <f t="shared" si="25"/>
        <v>0</v>
      </c>
      <c r="AI25" s="475">
        <f t="shared" si="26"/>
        <v>0</v>
      </c>
      <c r="AJ25" s="477">
        <f>IF((D25&lt;&gt;""),VLOOKUP(D25,Données!$E$36:$H$59,4,FALSE),)</f>
        <v>0</v>
      </c>
      <c r="AK25" s="477">
        <f t="shared" si="27"/>
        <v>0</v>
      </c>
      <c r="AL25" s="478">
        <f t="shared" si="28"/>
        <v>0</v>
      </c>
      <c r="AM25" s="479">
        <f t="shared" si="29"/>
        <v>0</v>
      </c>
      <c r="AN25" s="480">
        <f t="shared" si="12"/>
        <v>0</v>
      </c>
      <c r="AO25" s="477">
        <f t="shared" si="13"/>
        <v>0</v>
      </c>
      <c r="AP25" s="481">
        <f t="shared" si="30"/>
        <v>0</v>
      </c>
      <c r="AQ25" s="481">
        <f t="shared" si="31"/>
        <v>0</v>
      </c>
      <c r="AR25" s="481">
        <f t="shared" si="32"/>
        <v>0</v>
      </c>
      <c r="AS25" s="481">
        <f t="shared" si="33"/>
        <v>0</v>
      </c>
      <c r="AT25" s="479">
        <f t="shared" si="14"/>
        <v>0</v>
      </c>
      <c r="AU25" s="479">
        <f t="shared" si="15"/>
        <v>0</v>
      </c>
      <c r="AV25" s="471">
        <f>IF(Données!$H$8="x",AW25,AX25)</f>
        <v>4.7499999999999982</v>
      </c>
      <c r="AW25" s="471">
        <f t="shared" si="2"/>
        <v>2.3749999999999991</v>
      </c>
      <c r="AX25" s="471">
        <f t="shared" si="37"/>
        <v>4.7499999999999982</v>
      </c>
      <c r="AY25" s="467" t="str">
        <f t="shared" si="17"/>
        <v>Ve</v>
      </c>
      <c r="AZ25" s="7">
        <f>IF((S40="M6")*AND(S41&lt;&gt;""),VLOOKUP(S41,Échelle!$BS$5:$BT$31,2),)</f>
        <v>0</v>
      </c>
      <c r="BA25" s="4" t="s">
        <v>18</v>
      </c>
      <c r="BB25" s="148"/>
    </row>
    <row r="26" spans="1:54" x14ac:dyDescent="0.2">
      <c r="B26" s="403" t="s">
        <v>184</v>
      </c>
      <c r="C26" s="412" t="s">
        <v>494</v>
      </c>
      <c r="D26" s="411"/>
      <c r="E26" s="411"/>
      <c r="F26" s="401"/>
      <c r="G26" s="401"/>
      <c r="H26" s="401"/>
      <c r="I26" s="401"/>
      <c r="J26" s="406"/>
      <c r="K26" s="406"/>
      <c r="L26" s="402">
        <f>(G26-F26)+(I26-H26)+(K26-J26)</f>
        <v>0</v>
      </c>
      <c r="M26" s="402">
        <f>M25+L26</f>
        <v>0.6333333333333333</v>
      </c>
      <c r="N26" s="407">
        <f>IF(Juil!$H$48="x",AV26+Juil!$N$37,AV26)</f>
        <v>11.399999999999995</v>
      </c>
      <c r="O26" s="414" t="str">
        <f t="shared" si="3"/>
        <v>-</v>
      </c>
      <c r="P26" s="409">
        <f t="shared" si="4"/>
        <v>10.766666666666662</v>
      </c>
      <c r="Q26" s="415">
        <f t="shared" si="5"/>
        <v>0</v>
      </c>
      <c r="R26" s="415">
        <f t="shared" si="6"/>
        <v>0</v>
      </c>
      <c r="S26" s="415">
        <f t="shared" si="7"/>
        <v>0</v>
      </c>
      <c r="T26" s="415">
        <f t="shared" si="8"/>
        <v>0</v>
      </c>
      <c r="U26" s="407">
        <f t="shared" si="9"/>
        <v>0</v>
      </c>
      <c r="V26" s="407">
        <f>L26</f>
        <v>0</v>
      </c>
      <c r="W26" s="402">
        <f t="shared" si="10"/>
        <v>0</v>
      </c>
      <c r="X26" s="402">
        <f t="shared" si="11"/>
        <v>0</v>
      </c>
      <c r="Y26" s="401"/>
      <c r="Z26" s="401"/>
      <c r="AA26" s="411"/>
      <c r="AB26" s="420">
        <f t="shared" si="19"/>
        <v>0</v>
      </c>
      <c r="AC26" s="420">
        <f t="shared" si="20"/>
        <v>0</v>
      </c>
      <c r="AD26" s="420">
        <f t="shared" si="21"/>
        <v>0</v>
      </c>
      <c r="AE26" s="420">
        <f t="shared" si="22"/>
        <v>0</v>
      </c>
      <c r="AF26" s="421">
        <f t="shared" si="23"/>
        <v>0</v>
      </c>
      <c r="AG26" s="420">
        <f t="shared" si="24"/>
        <v>0</v>
      </c>
      <c r="AH26" s="421">
        <f t="shared" si="25"/>
        <v>0</v>
      </c>
      <c r="AI26" s="420">
        <f t="shared" si="26"/>
        <v>0</v>
      </c>
      <c r="AJ26" s="422">
        <f>IF((D26&lt;&gt;""),VLOOKUP(D26,Données!$E$36:$H$59,4,FALSE),)</f>
        <v>0</v>
      </c>
      <c r="AK26" s="422">
        <f t="shared" si="27"/>
        <v>0</v>
      </c>
      <c r="AL26" s="423">
        <f t="shared" si="28"/>
        <v>0</v>
      </c>
      <c r="AM26" s="424">
        <f t="shared" si="29"/>
        <v>0</v>
      </c>
      <c r="AN26" s="425">
        <f t="shared" si="12"/>
        <v>0</v>
      </c>
      <c r="AO26" s="422">
        <f t="shared" si="13"/>
        <v>0</v>
      </c>
      <c r="AP26" s="426">
        <f t="shared" si="30"/>
        <v>0</v>
      </c>
      <c r="AQ26" s="426">
        <f t="shared" si="31"/>
        <v>0</v>
      </c>
      <c r="AR26" s="426">
        <f t="shared" si="32"/>
        <v>0</v>
      </c>
      <c r="AS26" s="426">
        <f t="shared" si="33"/>
        <v>0</v>
      </c>
      <c r="AT26" s="424">
        <f t="shared" si="14"/>
        <v>0</v>
      </c>
      <c r="AU26" s="424">
        <f t="shared" si="15"/>
        <v>0</v>
      </c>
      <c r="AV26" s="402">
        <f>IF(Données!$H$8="x",AW26,AX26)</f>
        <v>4.7499999999999982</v>
      </c>
      <c r="AW26" s="402">
        <f t="shared" si="2"/>
        <v>2.3749999999999991</v>
      </c>
      <c r="AX26" s="402">
        <f>AX25</f>
        <v>4.7499999999999982</v>
      </c>
      <c r="AY26" s="403" t="str">
        <f t="shared" si="17"/>
        <v>Sa</v>
      </c>
      <c r="AZ26" s="423">
        <f>IF((S40="M7")*AND(S41&lt;&gt;""),VLOOKUP(S41,Échelle!$BV$5:$BW$31,2),)</f>
        <v>0</v>
      </c>
      <c r="BA26" s="424" t="s">
        <v>19</v>
      </c>
      <c r="BB26" s="148"/>
    </row>
    <row r="27" spans="1:54" x14ac:dyDescent="0.2">
      <c r="B27" s="403" t="s">
        <v>186</v>
      </c>
      <c r="C27" s="412" t="s">
        <v>495</v>
      </c>
      <c r="D27" s="411"/>
      <c r="E27" s="411"/>
      <c r="F27" s="401"/>
      <c r="G27" s="401"/>
      <c r="H27" s="401"/>
      <c r="I27" s="401"/>
      <c r="J27" s="406"/>
      <c r="K27" s="406"/>
      <c r="L27" s="402">
        <f>(G27-F27)+(I27-H27)+(K27-J27)</f>
        <v>0</v>
      </c>
      <c r="M27" s="402">
        <f t="shared" si="18"/>
        <v>0.6333333333333333</v>
      </c>
      <c r="N27" s="407">
        <f>IF(Juil!$H$48="x",AV27+Juil!$N$37,AV27)</f>
        <v>11.399999999999995</v>
      </c>
      <c r="O27" s="414" t="str">
        <f t="shared" si="3"/>
        <v>-</v>
      </c>
      <c r="P27" s="409">
        <f t="shared" si="4"/>
        <v>10.766666666666662</v>
      </c>
      <c r="Q27" s="415">
        <f t="shared" si="5"/>
        <v>0</v>
      </c>
      <c r="R27" s="415">
        <f t="shared" si="6"/>
        <v>0</v>
      </c>
      <c r="S27" s="415">
        <f t="shared" si="7"/>
        <v>0</v>
      </c>
      <c r="T27" s="415">
        <f t="shared" si="8"/>
        <v>0</v>
      </c>
      <c r="U27" s="407">
        <f t="shared" si="9"/>
        <v>0</v>
      </c>
      <c r="V27" s="407">
        <f>L27</f>
        <v>0</v>
      </c>
      <c r="W27" s="402">
        <f t="shared" si="10"/>
        <v>0</v>
      </c>
      <c r="X27" s="402">
        <f t="shared" si="11"/>
        <v>0</v>
      </c>
      <c r="Y27" s="401"/>
      <c r="Z27" s="401"/>
      <c r="AA27" s="411"/>
      <c r="AB27" s="420">
        <f t="shared" si="19"/>
        <v>0</v>
      </c>
      <c r="AC27" s="420">
        <f t="shared" si="20"/>
        <v>0</v>
      </c>
      <c r="AD27" s="420">
        <f t="shared" si="21"/>
        <v>0</v>
      </c>
      <c r="AE27" s="420">
        <f t="shared" si="22"/>
        <v>0</v>
      </c>
      <c r="AF27" s="421">
        <f t="shared" si="23"/>
        <v>0</v>
      </c>
      <c r="AG27" s="420">
        <f t="shared" si="24"/>
        <v>0</v>
      </c>
      <c r="AH27" s="421">
        <f t="shared" si="25"/>
        <v>0</v>
      </c>
      <c r="AI27" s="420">
        <f t="shared" si="26"/>
        <v>0</v>
      </c>
      <c r="AJ27" s="422">
        <f>IF((D27&lt;&gt;""),VLOOKUP(D27,Données!$E$36:$H$59,4,FALSE),)</f>
        <v>0</v>
      </c>
      <c r="AK27" s="422">
        <f t="shared" si="27"/>
        <v>0</v>
      </c>
      <c r="AL27" s="423">
        <f t="shared" si="28"/>
        <v>0</v>
      </c>
      <c r="AM27" s="424">
        <f t="shared" si="29"/>
        <v>0</v>
      </c>
      <c r="AN27" s="425">
        <f t="shared" si="12"/>
        <v>0</v>
      </c>
      <c r="AO27" s="422">
        <f t="shared" si="13"/>
        <v>0</v>
      </c>
      <c r="AP27" s="426">
        <f t="shared" si="30"/>
        <v>0</v>
      </c>
      <c r="AQ27" s="426">
        <f t="shared" si="31"/>
        <v>0</v>
      </c>
      <c r="AR27" s="426">
        <f t="shared" si="32"/>
        <v>0</v>
      </c>
      <c r="AS27" s="426">
        <f t="shared" si="33"/>
        <v>0</v>
      </c>
      <c r="AT27" s="424">
        <f t="shared" si="14"/>
        <v>0</v>
      </c>
      <c r="AU27" s="424">
        <f t="shared" si="15"/>
        <v>0</v>
      </c>
      <c r="AV27" s="402">
        <f>IF(Données!$H$8="x",AW27,AX27)</f>
        <v>4.7499999999999982</v>
      </c>
      <c r="AW27" s="402">
        <f t="shared" si="2"/>
        <v>2.3749999999999991</v>
      </c>
      <c r="AX27" s="402">
        <f>AX26</f>
        <v>4.7499999999999982</v>
      </c>
      <c r="AY27" s="403" t="str">
        <f t="shared" si="17"/>
        <v>Di</v>
      </c>
      <c r="AZ27" s="423">
        <f>IF((S40="M7bis")*AND(S41&lt;&gt;""),VLOOKUP(S41,Échelle!$BY$5:$BZ$31,2),)</f>
        <v>0</v>
      </c>
      <c r="BA27" s="424" t="s">
        <v>20</v>
      </c>
      <c r="BB27" s="148"/>
    </row>
    <row r="28" spans="1:54" x14ac:dyDescent="0.2">
      <c r="B28" s="467" t="s">
        <v>188</v>
      </c>
      <c r="C28" s="468" t="s">
        <v>496</v>
      </c>
      <c r="D28" s="469"/>
      <c r="E28" s="469"/>
      <c r="F28" s="470"/>
      <c r="G28" s="470"/>
      <c r="H28" s="470"/>
      <c r="I28" s="470"/>
      <c r="J28" s="487"/>
      <c r="K28" s="487"/>
      <c r="L28" s="471">
        <f t="shared" si="0"/>
        <v>0</v>
      </c>
      <c r="M28" s="471">
        <f t="shared" si="18"/>
        <v>0.6333333333333333</v>
      </c>
      <c r="N28" s="488">
        <f>IF(Juil!$H$48="x",AV28+Juil!$N$37,AV28)</f>
        <v>11.716666666666661</v>
      </c>
      <c r="O28" s="493" t="str">
        <f t="shared" si="3"/>
        <v>-</v>
      </c>
      <c r="P28" s="489">
        <f t="shared" si="4"/>
        <v>11.083333333333329</v>
      </c>
      <c r="Q28" s="494">
        <f t="shared" si="5"/>
        <v>0</v>
      </c>
      <c r="R28" s="494">
        <f t="shared" si="6"/>
        <v>0</v>
      </c>
      <c r="S28" s="494">
        <f t="shared" si="7"/>
        <v>0</v>
      </c>
      <c r="T28" s="494">
        <f t="shared" si="8"/>
        <v>0</v>
      </c>
      <c r="U28" s="488">
        <f t="shared" si="9"/>
        <v>0</v>
      </c>
      <c r="V28" s="488">
        <f t="shared" ref="V28:V37" si="38">IF(D28="F",L28,0)</f>
        <v>0</v>
      </c>
      <c r="W28" s="471">
        <f t="shared" si="10"/>
        <v>0</v>
      </c>
      <c r="X28" s="471">
        <f t="shared" si="11"/>
        <v>0</v>
      </c>
      <c r="Y28" s="470"/>
      <c r="Z28" s="470"/>
      <c r="AA28" s="469"/>
      <c r="AB28" s="475">
        <f t="shared" si="19"/>
        <v>0</v>
      </c>
      <c r="AC28" s="475">
        <f t="shared" si="20"/>
        <v>0</v>
      </c>
      <c r="AD28" s="475">
        <f t="shared" si="21"/>
        <v>0</v>
      </c>
      <c r="AE28" s="475">
        <f t="shared" si="22"/>
        <v>0</v>
      </c>
      <c r="AF28" s="476">
        <f t="shared" si="23"/>
        <v>0</v>
      </c>
      <c r="AG28" s="475">
        <f t="shared" si="24"/>
        <v>0</v>
      </c>
      <c r="AH28" s="476">
        <f t="shared" si="25"/>
        <v>0</v>
      </c>
      <c r="AI28" s="475">
        <f t="shared" si="26"/>
        <v>0</v>
      </c>
      <c r="AJ28" s="477">
        <f>IF((D28&lt;&gt;""),VLOOKUP(D28,Données!$E$36:$H$59,4,FALSE),)</f>
        <v>0</v>
      </c>
      <c r="AK28" s="477">
        <f t="shared" si="27"/>
        <v>0</v>
      </c>
      <c r="AL28" s="478">
        <f t="shared" si="28"/>
        <v>0</v>
      </c>
      <c r="AM28" s="479">
        <f t="shared" si="29"/>
        <v>0</v>
      </c>
      <c r="AN28" s="480">
        <f t="shared" si="12"/>
        <v>0</v>
      </c>
      <c r="AO28" s="477">
        <f t="shared" si="13"/>
        <v>0</v>
      </c>
      <c r="AP28" s="481">
        <f t="shared" si="30"/>
        <v>0</v>
      </c>
      <c r="AQ28" s="481">
        <f t="shared" si="31"/>
        <v>0</v>
      </c>
      <c r="AR28" s="481">
        <f t="shared" si="32"/>
        <v>0</v>
      </c>
      <c r="AS28" s="481">
        <f t="shared" si="33"/>
        <v>0</v>
      </c>
      <c r="AT28" s="479">
        <f t="shared" si="14"/>
        <v>0</v>
      </c>
      <c r="AU28" s="479">
        <f t="shared" si="15"/>
        <v>0</v>
      </c>
      <c r="AV28" s="471">
        <f>IF(Données!$H$8="x",AW28,AX28)</f>
        <v>5.0666666666666647</v>
      </c>
      <c r="AW28" s="471">
        <f t="shared" si="2"/>
        <v>2.5333333333333323</v>
      </c>
      <c r="AX28" s="471">
        <f t="shared" ref="AX28:AX37" si="39">IF(D28="L",AX27,(AX27+"07:36"))</f>
        <v>5.0666666666666647</v>
      </c>
      <c r="AY28" s="467" t="str">
        <f t="shared" si="17"/>
        <v>Lu</v>
      </c>
      <c r="AZ28" s="7">
        <f>IF((S40="O1")*AND(S41&lt;&gt;""),VLOOKUP(S41,Échelle!$Q$39:$R$65,2),)</f>
        <v>0</v>
      </c>
      <c r="BA28" s="4" t="s">
        <v>22</v>
      </c>
      <c r="BB28" s="148"/>
    </row>
    <row r="29" spans="1:54" x14ac:dyDescent="0.2">
      <c r="B29" s="467" t="s">
        <v>176</v>
      </c>
      <c r="C29" s="468" t="s">
        <v>497</v>
      </c>
      <c r="D29" s="469"/>
      <c r="E29" s="469"/>
      <c r="F29" s="470"/>
      <c r="G29" s="470"/>
      <c r="H29" s="470"/>
      <c r="I29" s="470"/>
      <c r="J29" s="487"/>
      <c r="K29" s="487"/>
      <c r="L29" s="471">
        <f t="shared" si="0"/>
        <v>0</v>
      </c>
      <c r="M29" s="471">
        <f t="shared" si="18"/>
        <v>0.6333333333333333</v>
      </c>
      <c r="N29" s="488">
        <f>IF(Juil!$H$48="x",AV29+Juil!$N$37,AV29)</f>
        <v>12.033333333333328</v>
      </c>
      <c r="O29" s="493" t="str">
        <f t="shared" si="3"/>
        <v>-</v>
      </c>
      <c r="P29" s="489">
        <f t="shared" si="4"/>
        <v>11.399999999999995</v>
      </c>
      <c r="Q29" s="494">
        <f t="shared" si="5"/>
        <v>0</v>
      </c>
      <c r="R29" s="494">
        <f t="shared" si="6"/>
        <v>0</v>
      </c>
      <c r="S29" s="494">
        <f t="shared" si="7"/>
        <v>0</v>
      </c>
      <c r="T29" s="494">
        <f t="shared" si="8"/>
        <v>0</v>
      </c>
      <c r="U29" s="488">
        <f t="shared" si="9"/>
        <v>0</v>
      </c>
      <c r="V29" s="488">
        <f t="shared" si="38"/>
        <v>0</v>
      </c>
      <c r="W29" s="471">
        <f t="shared" si="10"/>
        <v>0</v>
      </c>
      <c r="X29" s="471">
        <f t="shared" si="11"/>
        <v>0</v>
      </c>
      <c r="Y29" s="470"/>
      <c r="Z29" s="470"/>
      <c r="AA29" s="469"/>
      <c r="AB29" s="475">
        <f t="shared" si="19"/>
        <v>0</v>
      </c>
      <c r="AC29" s="475">
        <f t="shared" si="20"/>
        <v>0</v>
      </c>
      <c r="AD29" s="475">
        <f t="shared" si="21"/>
        <v>0</v>
      </c>
      <c r="AE29" s="475">
        <f t="shared" si="22"/>
        <v>0</v>
      </c>
      <c r="AF29" s="476">
        <f t="shared" si="23"/>
        <v>0</v>
      </c>
      <c r="AG29" s="475">
        <f t="shared" si="24"/>
        <v>0</v>
      </c>
      <c r="AH29" s="476">
        <f t="shared" si="25"/>
        <v>0</v>
      </c>
      <c r="AI29" s="475">
        <f t="shared" si="26"/>
        <v>0</v>
      </c>
      <c r="AJ29" s="477">
        <f>IF((D29&lt;&gt;""),VLOOKUP(D29,Données!$E$36:$H$59,4,FALSE),)</f>
        <v>0</v>
      </c>
      <c r="AK29" s="477">
        <f t="shared" si="27"/>
        <v>0</v>
      </c>
      <c r="AL29" s="478">
        <f t="shared" si="28"/>
        <v>0</v>
      </c>
      <c r="AM29" s="479">
        <f t="shared" si="29"/>
        <v>0</v>
      </c>
      <c r="AN29" s="480">
        <f t="shared" si="12"/>
        <v>0</v>
      </c>
      <c r="AO29" s="477">
        <f t="shared" si="13"/>
        <v>0</v>
      </c>
      <c r="AP29" s="481">
        <f t="shared" si="30"/>
        <v>0</v>
      </c>
      <c r="AQ29" s="481">
        <f t="shared" si="31"/>
        <v>0</v>
      </c>
      <c r="AR29" s="481">
        <f t="shared" si="32"/>
        <v>0</v>
      </c>
      <c r="AS29" s="481">
        <f t="shared" si="33"/>
        <v>0</v>
      </c>
      <c r="AT29" s="479">
        <f t="shared" si="14"/>
        <v>0</v>
      </c>
      <c r="AU29" s="479">
        <f t="shared" si="15"/>
        <v>0</v>
      </c>
      <c r="AV29" s="471">
        <f>IF(Données!$H$8="x",AW29,AX29)</f>
        <v>5.3833333333333311</v>
      </c>
      <c r="AW29" s="471">
        <f t="shared" si="2"/>
        <v>2.6916666666666655</v>
      </c>
      <c r="AX29" s="471">
        <f t="shared" si="39"/>
        <v>5.3833333333333311</v>
      </c>
      <c r="AY29" s="467" t="str">
        <f t="shared" si="17"/>
        <v>Ma</v>
      </c>
      <c r="AZ29" s="7">
        <f>IF((S40="O2")*AND(S41&lt;&gt;""),VLOOKUP(S41,Échelle!$T$39:$U$65,2),)</f>
        <v>0</v>
      </c>
      <c r="BA29" s="4" t="s">
        <v>23</v>
      </c>
      <c r="BB29" s="148"/>
    </row>
    <row r="30" spans="1:54" x14ac:dyDescent="0.2">
      <c r="B30" s="467" t="s">
        <v>178</v>
      </c>
      <c r="C30" s="468" t="s">
        <v>498</v>
      </c>
      <c r="D30" s="469"/>
      <c r="E30" s="469"/>
      <c r="F30" s="470"/>
      <c r="G30" s="470"/>
      <c r="H30" s="470"/>
      <c r="I30" s="470"/>
      <c r="J30" s="487"/>
      <c r="K30" s="487"/>
      <c r="L30" s="471">
        <f t="shared" si="0"/>
        <v>0</v>
      </c>
      <c r="M30" s="471">
        <f t="shared" si="18"/>
        <v>0.6333333333333333</v>
      </c>
      <c r="N30" s="488">
        <f>IF(Juil!$H$48="x",AV30+Juil!$N$37,AV30)</f>
        <v>12.349999999999994</v>
      </c>
      <c r="O30" s="493" t="str">
        <f t="shared" si="3"/>
        <v>-</v>
      </c>
      <c r="P30" s="489">
        <f t="shared" si="4"/>
        <v>11.716666666666661</v>
      </c>
      <c r="Q30" s="494">
        <f t="shared" si="5"/>
        <v>0</v>
      </c>
      <c r="R30" s="494">
        <f t="shared" si="6"/>
        <v>0</v>
      </c>
      <c r="S30" s="494">
        <f t="shared" si="7"/>
        <v>0</v>
      </c>
      <c r="T30" s="494">
        <f t="shared" si="8"/>
        <v>0</v>
      </c>
      <c r="U30" s="488">
        <f t="shared" si="9"/>
        <v>0</v>
      </c>
      <c r="V30" s="488">
        <f t="shared" si="38"/>
        <v>0</v>
      </c>
      <c r="W30" s="471">
        <f t="shared" si="10"/>
        <v>0</v>
      </c>
      <c r="X30" s="471">
        <f t="shared" si="11"/>
        <v>0</v>
      </c>
      <c r="Y30" s="470"/>
      <c r="Z30" s="470"/>
      <c r="AA30" s="469"/>
      <c r="AB30" s="475">
        <f t="shared" si="19"/>
        <v>0</v>
      </c>
      <c r="AC30" s="475">
        <f t="shared" si="20"/>
        <v>0</v>
      </c>
      <c r="AD30" s="475">
        <f t="shared" si="21"/>
        <v>0</v>
      </c>
      <c r="AE30" s="475">
        <f t="shared" si="22"/>
        <v>0</v>
      </c>
      <c r="AF30" s="476">
        <f t="shared" si="23"/>
        <v>0</v>
      </c>
      <c r="AG30" s="475">
        <f t="shared" si="24"/>
        <v>0</v>
      </c>
      <c r="AH30" s="476">
        <f t="shared" si="25"/>
        <v>0</v>
      </c>
      <c r="AI30" s="475">
        <f t="shared" si="26"/>
        <v>0</v>
      </c>
      <c r="AJ30" s="477">
        <f>IF((D30&lt;&gt;""),VLOOKUP(D30,Données!$E$36:$H$59,4,FALSE),)</f>
        <v>0</v>
      </c>
      <c r="AK30" s="477">
        <f t="shared" si="27"/>
        <v>0</v>
      </c>
      <c r="AL30" s="478">
        <f t="shared" si="28"/>
        <v>0</v>
      </c>
      <c r="AM30" s="479">
        <f t="shared" si="29"/>
        <v>0</v>
      </c>
      <c r="AN30" s="480">
        <f t="shared" si="12"/>
        <v>0</v>
      </c>
      <c r="AO30" s="477">
        <f t="shared" si="13"/>
        <v>0</v>
      </c>
      <c r="AP30" s="481">
        <f t="shared" si="30"/>
        <v>0</v>
      </c>
      <c r="AQ30" s="481">
        <f t="shared" si="31"/>
        <v>0</v>
      </c>
      <c r="AR30" s="481">
        <f t="shared" si="32"/>
        <v>0</v>
      </c>
      <c r="AS30" s="481">
        <f t="shared" si="33"/>
        <v>0</v>
      </c>
      <c r="AT30" s="479">
        <f t="shared" si="14"/>
        <v>0</v>
      </c>
      <c r="AU30" s="479">
        <f t="shared" si="15"/>
        <v>0</v>
      </c>
      <c r="AV30" s="471">
        <f>IF(Données!$H$8="x",AW30,AX30)</f>
        <v>5.6999999999999975</v>
      </c>
      <c r="AW30" s="471">
        <f t="shared" si="2"/>
        <v>2.8499999999999988</v>
      </c>
      <c r="AX30" s="471">
        <f t="shared" si="39"/>
        <v>5.6999999999999975</v>
      </c>
      <c r="AY30" s="467" t="str">
        <f t="shared" si="17"/>
        <v>Me</v>
      </c>
      <c r="AZ30" s="7">
        <f>IF((S40="O2ir")*AND(S41&lt;&gt;""),VLOOKUP(S41,Échelle!$AR$39:$AS$65,2),)</f>
        <v>0</v>
      </c>
      <c r="BA30" s="4" t="s">
        <v>31</v>
      </c>
      <c r="BB30" s="148"/>
    </row>
    <row r="31" spans="1:54" x14ac:dyDescent="0.2">
      <c r="B31" s="467" t="s">
        <v>180</v>
      </c>
      <c r="C31" s="468" t="s">
        <v>499</v>
      </c>
      <c r="D31" s="469"/>
      <c r="E31" s="469"/>
      <c r="F31" s="470"/>
      <c r="G31" s="470"/>
      <c r="H31" s="470"/>
      <c r="I31" s="470"/>
      <c r="J31" s="487"/>
      <c r="K31" s="487"/>
      <c r="L31" s="471">
        <f t="shared" si="0"/>
        <v>0</v>
      </c>
      <c r="M31" s="471">
        <f t="shared" si="18"/>
        <v>0.6333333333333333</v>
      </c>
      <c r="N31" s="488">
        <f>IF(Juil!$H$48="x",AV31+Juil!$N$37,AV31)</f>
        <v>12.666666666666661</v>
      </c>
      <c r="O31" s="493" t="str">
        <f t="shared" si="3"/>
        <v>-</v>
      </c>
      <c r="P31" s="489">
        <f t="shared" si="4"/>
        <v>12.033333333333328</v>
      </c>
      <c r="Q31" s="494">
        <f t="shared" si="5"/>
        <v>0</v>
      </c>
      <c r="R31" s="494">
        <f t="shared" si="6"/>
        <v>0</v>
      </c>
      <c r="S31" s="494">
        <f t="shared" si="7"/>
        <v>0</v>
      </c>
      <c r="T31" s="494">
        <f t="shared" si="8"/>
        <v>0</v>
      </c>
      <c r="U31" s="488">
        <f t="shared" si="9"/>
        <v>0</v>
      </c>
      <c r="V31" s="488">
        <f t="shared" si="38"/>
        <v>0</v>
      </c>
      <c r="W31" s="471">
        <f t="shared" si="10"/>
        <v>0</v>
      </c>
      <c r="X31" s="471">
        <f t="shared" si="11"/>
        <v>0</v>
      </c>
      <c r="Y31" s="470"/>
      <c r="Z31" s="470"/>
      <c r="AA31" s="469"/>
      <c r="AB31" s="475">
        <f t="shared" si="19"/>
        <v>0</v>
      </c>
      <c r="AC31" s="475">
        <f t="shared" si="20"/>
        <v>0</v>
      </c>
      <c r="AD31" s="475">
        <f t="shared" si="21"/>
        <v>0</v>
      </c>
      <c r="AE31" s="475">
        <f t="shared" si="22"/>
        <v>0</v>
      </c>
      <c r="AF31" s="476">
        <f t="shared" si="23"/>
        <v>0</v>
      </c>
      <c r="AG31" s="475">
        <f t="shared" si="24"/>
        <v>0</v>
      </c>
      <c r="AH31" s="476">
        <f t="shared" si="25"/>
        <v>0</v>
      </c>
      <c r="AI31" s="475">
        <f t="shared" si="26"/>
        <v>0</v>
      </c>
      <c r="AJ31" s="477">
        <f>IF((D31&lt;&gt;""),VLOOKUP(D31,Données!$E$36:$H$59,4,FALSE),)</f>
        <v>0</v>
      </c>
      <c r="AK31" s="477">
        <f t="shared" si="27"/>
        <v>0</v>
      </c>
      <c r="AL31" s="478">
        <f t="shared" si="28"/>
        <v>0</v>
      </c>
      <c r="AM31" s="479">
        <f t="shared" si="29"/>
        <v>0</v>
      </c>
      <c r="AN31" s="480">
        <f t="shared" si="12"/>
        <v>0</v>
      </c>
      <c r="AO31" s="477">
        <f t="shared" si="13"/>
        <v>0</v>
      </c>
      <c r="AP31" s="481">
        <f t="shared" si="30"/>
        <v>0</v>
      </c>
      <c r="AQ31" s="481">
        <f t="shared" si="31"/>
        <v>0</v>
      </c>
      <c r="AR31" s="481">
        <f t="shared" si="32"/>
        <v>0</v>
      </c>
      <c r="AS31" s="481">
        <f t="shared" si="33"/>
        <v>0</v>
      </c>
      <c r="AT31" s="479">
        <f t="shared" si="14"/>
        <v>0</v>
      </c>
      <c r="AU31" s="479">
        <f t="shared" si="15"/>
        <v>0</v>
      </c>
      <c r="AV31" s="471">
        <f>IF(Données!$H$8="x",AW31,AX31)</f>
        <v>6.0166666666666639</v>
      </c>
      <c r="AW31" s="471">
        <f t="shared" si="2"/>
        <v>3.008333333333332</v>
      </c>
      <c r="AX31" s="471">
        <f t="shared" si="39"/>
        <v>6.0166666666666639</v>
      </c>
      <c r="AY31" s="467" t="str">
        <f t="shared" si="17"/>
        <v>Je</v>
      </c>
      <c r="AZ31" s="7">
        <f>IF((S40="O3")*AND(S41&lt;&gt;""),VLOOKUP(S41,Échelle!$W$39:$X$65,2),)</f>
        <v>0</v>
      </c>
      <c r="BA31" s="4" t="s">
        <v>24</v>
      </c>
      <c r="BB31" s="148"/>
    </row>
    <row r="32" spans="1:54" x14ac:dyDescent="0.2">
      <c r="B32" s="467" t="s">
        <v>182</v>
      </c>
      <c r="C32" s="468" t="s">
        <v>500</v>
      </c>
      <c r="D32" s="469"/>
      <c r="E32" s="469"/>
      <c r="F32" s="470"/>
      <c r="G32" s="470"/>
      <c r="H32" s="470"/>
      <c r="I32" s="470"/>
      <c r="J32" s="487"/>
      <c r="K32" s="487"/>
      <c r="L32" s="471">
        <f t="shared" si="0"/>
        <v>0</v>
      </c>
      <c r="M32" s="471">
        <f>M31+L32</f>
        <v>0.6333333333333333</v>
      </c>
      <c r="N32" s="488">
        <f>IF(Juil!$H$48="x",AV32+Juil!$N$37,AV32)</f>
        <v>12.983333333333327</v>
      </c>
      <c r="O32" s="493" t="str">
        <f t="shared" si="3"/>
        <v>-</v>
      </c>
      <c r="P32" s="489">
        <f t="shared" si="4"/>
        <v>12.349999999999994</v>
      </c>
      <c r="Q32" s="494">
        <f t="shared" si="5"/>
        <v>0</v>
      </c>
      <c r="R32" s="494">
        <f t="shared" si="6"/>
        <v>0</v>
      </c>
      <c r="S32" s="494">
        <f t="shared" si="7"/>
        <v>0</v>
      </c>
      <c r="T32" s="494">
        <f t="shared" si="8"/>
        <v>0</v>
      </c>
      <c r="U32" s="488">
        <f t="shared" si="9"/>
        <v>0</v>
      </c>
      <c r="V32" s="488">
        <f t="shared" si="38"/>
        <v>0</v>
      </c>
      <c r="W32" s="471">
        <f t="shared" si="10"/>
        <v>0</v>
      </c>
      <c r="X32" s="471">
        <f t="shared" si="11"/>
        <v>0</v>
      </c>
      <c r="Y32" s="470"/>
      <c r="Z32" s="470"/>
      <c r="AA32" s="469"/>
      <c r="AB32" s="475">
        <f t="shared" si="19"/>
        <v>0</v>
      </c>
      <c r="AC32" s="475">
        <f t="shared" si="20"/>
        <v>0</v>
      </c>
      <c r="AD32" s="475">
        <f t="shared" si="21"/>
        <v>0</v>
      </c>
      <c r="AE32" s="475">
        <f t="shared" si="22"/>
        <v>0</v>
      </c>
      <c r="AF32" s="476">
        <f t="shared" si="23"/>
        <v>0</v>
      </c>
      <c r="AG32" s="475">
        <f t="shared" si="24"/>
        <v>0</v>
      </c>
      <c r="AH32" s="476">
        <f t="shared" si="25"/>
        <v>0</v>
      </c>
      <c r="AI32" s="475">
        <f t="shared" si="26"/>
        <v>0</v>
      </c>
      <c r="AJ32" s="477">
        <f>IF((D32&lt;&gt;""),VLOOKUP(D32,Données!$E$36:$H$59,4,FALSE),)</f>
        <v>0</v>
      </c>
      <c r="AK32" s="477">
        <f t="shared" si="27"/>
        <v>0</v>
      </c>
      <c r="AL32" s="478">
        <f t="shared" si="28"/>
        <v>0</v>
      </c>
      <c r="AM32" s="479">
        <f t="shared" si="29"/>
        <v>0</v>
      </c>
      <c r="AN32" s="480">
        <f t="shared" si="12"/>
        <v>0</v>
      </c>
      <c r="AO32" s="477">
        <f t="shared" si="13"/>
        <v>0</v>
      </c>
      <c r="AP32" s="481">
        <f t="shared" si="30"/>
        <v>0</v>
      </c>
      <c r="AQ32" s="481">
        <f t="shared" si="31"/>
        <v>0</v>
      </c>
      <c r="AR32" s="481">
        <f t="shared" si="32"/>
        <v>0</v>
      </c>
      <c r="AS32" s="481">
        <f t="shared" si="33"/>
        <v>0</v>
      </c>
      <c r="AT32" s="479">
        <f t="shared" si="14"/>
        <v>0</v>
      </c>
      <c r="AU32" s="479">
        <f t="shared" si="15"/>
        <v>0</v>
      </c>
      <c r="AV32" s="471">
        <f>IF(Données!$H$8="x",AW32,AX32)</f>
        <v>6.3333333333333304</v>
      </c>
      <c r="AW32" s="471">
        <f t="shared" si="2"/>
        <v>3.1666666666666652</v>
      </c>
      <c r="AX32" s="471">
        <f t="shared" si="39"/>
        <v>6.3333333333333304</v>
      </c>
      <c r="AY32" s="467" t="str">
        <f t="shared" si="17"/>
        <v>Ve</v>
      </c>
      <c r="AZ32" s="7">
        <f>IF((S40="O3ir")*AND(S41&lt;&gt;""),VLOOKUP(S41,Échelle!$AU$39:$AV$65,2),)</f>
        <v>0</v>
      </c>
      <c r="BA32" s="4" t="s">
        <v>32</v>
      </c>
      <c r="BB32" s="148"/>
    </row>
    <row r="33" spans="2:54" x14ac:dyDescent="0.2">
      <c r="B33" s="403" t="s">
        <v>184</v>
      </c>
      <c r="C33" s="412" t="s">
        <v>501</v>
      </c>
      <c r="D33" s="411"/>
      <c r="E33" s="411"/>
      <c r="F33" s="401"/>
      <c r="G33" s="401"/>
      <c r="H33" s="401"/>
      <c r="I33" s="401"/>
      <c r="J33" s="406"/>
      <c r="K33" s="406"/>
      <c r="L33" s="402">
        <f>(G33-F33)+(I33-H33)+(K33-J33)</f>
        <v>0</v>
      </c>
      <c r="M33" s="402">
        <f>M32+L33</f>
        <v>0.6333333333333333</v>
      </c>
      <c r="N33" s="407">
        <f>IF(Juil!$H$48="x",AV33+Juil!$N$37,AV33)</f>
        <v>12.983333333333327</v>
      </c>
      <c r="O33" s="414" t="str">
        <f t="shared" si="3"/>
        <v>-</v>
      </c>
      <c r="P33" s="409">
        <f t="shared" si="4"/>
        <v>12.349999999999994</v>
      </c>
      <c r="Q33" s="415">
        <f t="shared" si="5"/>
        <v>0</v>
      </c>
      <c r="R33" s="415">
        <f t="shared" si="6"/>
        <v>0</v>
      </c>
      <c r="S33" s="415">
        <f t="shared" si="7"/>
        <v>0</v>
      </c>
      <c r="T33" s="415">
        <f t="shared" si="8"/>
        <v>0</v>
      </c>
      <c r="U33" s="407">
        <f t="shared" si="9"/>
        <v>0</v>
      </c>
      <c r="V33" s="407">
        <f>L33</f>
        <v>0</v>
      </c>
      <c r="W33" s="402">
        <f t="shared" si="10"/>
        <v>0</v>
      </c>
      <c r="X33" s="402">
        <f t="shared" si="11"/>
        <v>0</v>
      </c>
      <c r="Y33" s="401"/>
      <c r="Z33" s="401"/>
      <c r="AA33" s="411"/>
      <c r="AB33" s="420">
        <f t="shared" si="19"/>
        <v>0</v>
      </c>
      <c r="AC33" s="420">
        <f t="shared" si="20"/>
        <v>0</v>
      </c>
      <c r="AD33" s="420">
        <f t="shared" si="21"/>
        <v>0</v>
      </c>
      <c r="AE33" s="420">
        <f t="shared" si="22"/>
        <v>0</v>
      </c>
      <c r="AF33" s="421">
        <f t="shared" si="23"/>
        <v>0</v>
      </c>
      <c r="AG33" s="420">
        <f t="shared" si="24"/>
        <v>0</v>
      </c>
      <c r="AH33" s="421">
        <f t="shared" si="25"/>
        <v>0</v>
      </c>
      <c r="AI33" s="420">
        <f t="shared" si="26"/>
        <v>0</v>
      </c>
      <c r="AJ33" s="422">
        <f>IF((D33&lt;&gt;""),VLOOKUP(D33,Données!$E$36:$H$59,4,FALSE),)</f>
        <v>0</v>
      </c>
      <c r="AK33" s="422">
        <f t="shared" si="27"/>
        <v>0</v>
      </c>
      <c r="AL33" s="423">
        <f t="shared" si="28"/>
        <v>0</v>
      </c>
      <c r="AM33" s="424">
        <f t="shared" si="29"/>
        <v>0</v>
      </c>
      <c r="AN33" s="425">
        <f t="shared" si="12"/>
        <v>0</v>
      </c>
      <c r="AO33" s="422">
        <f t="shared" si="13"/>
        <v>0</v>
      </c>
      <c r="AP33" s="426">
        <f t="shared" si="30"/>
        <v>0</v>
      </c>
      <c r="AQ33" s="426">
        <f t="shared" si="31"/>
        <v>0</v>
      </c>
      <c r="AR33" s="426">
        <f t="shared" si="32"/>
        <v>0</v>
      </c>
      <c r="AS33" s="426">
        <f t="shared" si="33"/>
        <v>0</v>
      </c>
      <c r="AT33" s="424">
        <f t="shared" si="14"/>
        <v>0</v>
      </c>
      <c r="AU33" s="424">
        <f t="shared" si="15"/>
        <v>0</v>
      </c>
      <c r="AV33" s="402">
        <f>IF(Données!$H$8="x",AW33,AX33)</f>
        <v>6.3333333333333304</v>
      </c>
      <c r="AW33" s="402">
        <f t="shared" si="2"/>
        <v>3.1666666666666652</v>
      </c>
      <c r="AX33" s="402">
        <f>AX32</f>
        <v>6.3333333333333304</v>
      </c>
      <c r="AY33" s="403" t="str">
        <f t="shared" si="17"/>
        <v>Sa</v>
      </c>
      <c r="AZ33" s="423">
        <f>IF((S40="O4")*AND(S41&lt;&gt;""),VLOOKUP(S41,Échelle!$Z$39:$AA$65,2),)</f>
        <v>0</v>
      </c>
      <c r="BA33" s="424" t="s">
        <v>25</v>
      </c>
      <c r="BB33" s="148"/>
    </row>
    <row r="34" spans="2:54" x14ac:dyDescent="0.2">
      <c r="B34" s="403" t="s">
        <v>186</v>
      </c>
      <c r="C34" s="412" t="s">
        <v>502</v>
      </c>
      <c r="D34" s="411"/>
      <c r="E34" s="411"/>
      <c r="F34" s="401"/>
      <c r="G34" s="401"/>
      <c r="H34" s="401"/>
      <c r="I34" s="401"/>
      <c r="J34" s="406"/>
      <c r="K34" s="406"/>
      <c r="L34" s="402">
        <f>(G34-F34)+(I34-H34)+(K34-J34)</f>
        <v>0</v>
      </c>
      <c r="M34" s="402">
        <f t="shared" si="18"/>
        <v>0.6333333333333333</v>
      </c>
      <c r="N34" s="407">
        <f>IF(Juil!$H$48="x",AV34+Juil!$N$37,AV34)</f>
        <v>12.983333333333327</v>
      </c>
      <c r="O34" s="414" t="str">
        <f t="shared" si="3"/>
        <v>-</v>
      </c>
      <c r="P34" s="409">
        <f t="shared" si="4"/>
        <v>12.349999999999994</v>
      </c>
      <c r="Q34" s="415">
        <f t="shared" si="5"/>
        <v>0</v>
      </c>
      <c r="R34" s="415">
        <f t="shared" si="6"/>
        <v>0</v>
      </c>
      <c r="S34" s="415">
        <f t="shared" si="7"/>
        <v>0</v>
      </c>
      <c r="T34" s="415">
        <f t="shared" si="8"/>
        <v>0</v>
      </c>
      <c r="U34" s="407">
        <f t="shared" si="9"/>
        <v>0</v>
      </c>
      <c r="V34" s="407">
        <f>L34</f>
        <v>0</v>
      </c>
      <c r="W34" s="402">
        <f t="shared" si="10"/>
        <v>0</v>
      </c>
      <c r="X34" s="402">
        <f t="shared" si="11"/>
        <v>0</v>
      </c>
      <c r="Y34" s="401"/>
      <c r="Z34" s="401"/>
      <c r="AA34" s="411"/>
      <c r="AB34" s="420">
        <f t="shared" si="19"/>
        <v>0</v>
      </c>
      <c r="AC34" s="420">
        <f t="shared" si="20"/>
        <v>0</v>
      </c>
      <c r="AD34" s="420">
        <f t="shared" si="21"/>
        <v>0</v>
      </c>
      <c r="AE34" s="420">
        <f t="shared" si="22"/>
        <v>0</v>
      </c>
      <c r="AF34" s="421">
        <f t="shared" si="23"/>
        <v>0</v>
      </c>
      <c r="AG34" s="420">
        <f t="shared" si="24"/>
        <v>0</v>
      </c>
      <c r="AH34" s="421">
        <f t="shared" si="25"/>
        <v>0</v>
      </c>
      <c r="AI34" s="420">
        <f t="shared" si="26"/>
        <v>0</v>
      </c>
      <c r="AJ34" s="422">
        <f>IF((D34&lt;&gt;""),VLOOKUP(D34,Données!$E$36:$H$59,4,FALSE),)</f>
        <v>0</v>
      </c>
      <c r="AK34" s="422">
        <f t="shared" si="27"/>
        <v>0</v>
      </c>
      <c r="AL34" s="423">
        <f t="shared" si="28"/>
        <v>0</v>
      </c>
      <c r="AM34" s="424">
        <f t="shared" si="29"/>
        <v>0</v>
      </c>
      <c r="AN34" s="425">
        <f t="shared" si="12"/>
        <v>0</v>
      </c>
      <c r="AO34" s="422">
        <f t="shared" si="13"/>
        <v>0</v>
      </c>
      <c r="AP34" s="426">
        <f t="shared" si="30"/>
        <v>0</v>
      </c>
      <c r="AQ34" s="426">
        <f t="shared" si="31"/>
        <v>0</v>
      </c>
      <c r="AR34" s="426">
        <f t="shared" si="32"/>
        <v>0</v>
      </c>
      <c r="AS34" s="426">
        <f t="shared" si="33"/>
        <v>0</v>
      </c>
      <c r="AT34" s="424">
        <f t="shared" si="14"/>
        <v>0</v>
      </c>
      <c r="AU34" s="424">
        <f t="shared" si="15"/>
        <v>0</v>
      </c>
      <c r="AV34" s="402">
        <f>IF(Données!$H$8="x",AW34,AX34)</f>
        <v>6.3333333333333304</v>
      </c>
      <c r="AW34" s="402">
        <f t="shared" si="2"/>
        <v>3.1666666666666652</v>
      </c>
      <c r="AX34" s="402">
        <f>AX33</f>
        <v>6.3333333333333304</v>
      </c>
      <c r="AY34" s="403" t="str">
        <f t="shared" si="17"/>
        <v>Di</v>
      </c>
      <c r="AZ34" s="423">
        <f>IF((S40="O4bis")*AND(S41&lt;&gt;""),VLOOKUP(S41,Échelle!$BG$39:$BH$65,2),)</f>
        <v>0</v>
      </c>
      <c r="BA34" s="424" t="s">
        <v>36</v>
      </c>
      <c r="BB34" s="148"/>
    </row>
    <row r="35" spans="2:54" x14ac:dyDescent="0.2">
      <c r="B35" s="467" t="s">
        <v>188</v>
      </c>
      <c r="C35" s="468" t="s">
        <v>503</v>
      </c>
      <c r="D35" s="469"/>
      <c r="E35" s="469"/>
      <c r="F35" s="470"/>
      <c r="G35" s="470"/>
      <c r="H35" s="470"/>
      <c r="I35" s="470"/>
      <c r="J35" s="487"/>
      <c r="K35" s="487"/>
      <c r="L35" s="471">
        <f t="shared" si="0"/>
        <v>0</v>
      </c>
      <c r="M35" s="471">
        <f t="shared" si="18"/>
        <v>0.6333333333333333</v>
      </c>
      <c r="N35" s="488">
        <f>IF(Juil!$H$48="x",AV35+Juil!$N$37,AV35)</f>
        <v>13.299999999999994</v>
      </c>
      <c r="O35" s="493" t="str">
        <f t="shared" si="3"/>
        <v>-</v>
      </c>
      <c r="P35" s="489">
        <f t="shared" si="4"/>
        <v>12.666666666666661</v>
      </c>
      <c r="Q35" s="494">
        <f t="shared" si="5"/>
        <v>0</v>
      </c>
      <c r="R35" s="494">
        <f t="shared" si="6"/>
        <v>0</v>
      </c>
      <c r="S35" s="494">
        <f t="shared" si="7"/>
        <v>0</v>
      </c>
      <c r="T35" s="494">
        <f t="shared" si="8"/>
        <v>0</v>
      </c>
      <c r="U35" s="488">
        <f t="shared" si="9"/>
        <v>0</v>
      </c>
      <c r="V35" s="488">
        <f t="shared" si="38"/>
        <v>0</v>
      </c>
      <c r="W35" s="471">
        <f t="shared" si="10"/>
        <v>0</v>
      </c>
      <c r="X35" s="471">
        <f t="shared" si="11"/>
        <v>0</v>
      </c>
      <c r="Y35" s="470"/>
      <c r="Z35" s="470"/>
      <c r="AA35" s="469"/>
      <c r="AB35" s="475">
        <f t="shared" si="19"/>
        <v>0</v>
      </c>
      <c r="AC35" s="475">
        <f t="shared" si="20"/>
        <v>0</v>
      </c>
      <c r="AD35" s="475">
        <f t="shared" si="21"/>
        <v>0</v>
      </c>
      <c r="AE35" s="475">
        <f t="shared" si="22"/>
        <v>0</v>
      </c>
      <c r="AF35" s="476">
        <f t="shared" si="23"/>
        <v>0</v>
      </c>
      <c r="AG35" s="475">
        <f t="shared" si="24"/>
        <v>0</v>
      </c>
      <c r="AH35" s="476">
        <f t="shared" si="25"/>
        <v>0</v>
      </c>
      <c r="AI35" s="475">
        <f t="shared" si="26"/>
        <v>0</v>
      </c>
      <c r="AJ35" s="477">
        <f>IF((D35&lt;&gt;""),VLOOKUP(D35,Données!$E$36:$H$59,4,FALSE),)</f>
        <v>0</v>
      </c>
      <c r="AK35" s="477">
        <f t="shared" si="27"/>
        <v>0</v>
      </c>
      <c r="AL35" s="478">
        <f t="shared" si="28"/>
        <v>0</v>
      </c>
      <c r="AM35" s="479">
        <f t="shared" si="29"/>
        <v>0</v>
      </c>
      <c r="AN35" s="480">
        <f t="shared" si="12"/>
        <v>0</v>
      </c>
      <c r="AO35" s="477">
        <f t="shared" si="13"/>
        <v>0</v>
      </c>
      <c r="AP35" s="481">
        <f t="shared" si="30"/>
        <v>0</v>
      </c>
      <c r="AQ35" s="481">
        <f t="shared" si="31"/>
        <v>0</v>
      </c>
      <c r="AR35" s="481">
        <f t="shared" si="32"/>
        <v>0</v>
      </c>
      <c r="AS35" s="481">
        <f t="shared" si="33"/>
        <v>0</v>
      </c>
      <c r="AT35" s="479">
        <f t="shared" si="14"/>
        <v>0</v>
      </c>
      <c r="AU35" s="479">
        <f t="shared" si="15"/>
        <v>0</v>
      </c>
      <c r="AV35" s="471">
        <f>IF(Données!$H$8="x",AW35,AX35)</f>
        <v>6.6499999999999968</v>
      </c>
      <c r="AW35" s="471">
        <f t="shared" si="2"/>
        <v>3.3249999999999984</v>
      </c>
      <c r="AX35" s="471">
        <f t="shared" si="39"/>
        <v>6.6499999999999968</v>
      </c>
      <c r="AY35" s="467" t="str">
        <f t="shared" si="17"/>
        <v>Lu</v>
      </c>
      <c r="AZ35" s="7">
        <f>IF((S40="O4bis-ir")*AND(S41&lt;&gt;""),VLOOKUP(S41,Échelle!$AO$39:$AP$65,2),)</f>
        <v>0</v>
      </c>
      <c r="BA35" s="4" t="s">
        <v>30</v>
      </c>
      <c r="BB35" s="148"/>
    </row>
    <row r="36" spans="2:54" x14ac:dyDescent="0.2">
      <c r="B36" s="467" t="s">
        <v>176</v>
      </c>
      <c r="C36" s="468" t="s">
        <v>504</v>
      </c>
      <c r="D36" s="469"/>
      <c r="E36" s="469"/>
      <c r="F36" s="470"/>
      <c r="G36" s="470"/>
      <c r="H36" s="470"/>
      <c r="I36" s="470"/>
      <c r="J36" s="487"/>
      <c r="K36" s="487"/>
      <c r="L36" s="471">
        <f t="shared" si="0"/>
        <v>0</v>
      </c>
      <c r="M36" s="471">
        <f t="shared" si="18"/>
        <v>0.6333333333333333</v>
      </c>
      <c r="N36" s="488">
        <f>IF(Juil!$H$48="x",AV36+Juil!$N$37,AV36)</f>
        <v>13.61666666666666</v>
      </c>
      <c r="O36" s="493" t="str">
        <f t="shared" si="3"/>
        <v>-</v>
      </c>
      <c r="P36" s="489">
        <f t="shared" si="4"/>
        <v>12.983333333333327</v>
      </c>
      <c r="Q36" s="494">
        <f t="shared" si="5"/>
        <v>0</v>
      </c>
      <c r="R36" s="494">
        <f t="shared" si="6"/>
        <v>0</v>
      </c>
      <c r="S36" s="494">
        <f t="shared" si="7"/>
        <v>0</v>
      </c>
      <c r="T36" s="494">
        <f t="shared" si="8"/>
        <v>0</v>
      </c>
      <c r="U36" s="488">
        <f t="shared" si="9"/>
        <v>0</v>
      </c>
      <c r="V36" s="488">
        <f t="shared" si="38"/>
        <v>0</v>
      </c>
      <c r="W36" s="471">
        <f t="shared" si="10"/>
        <v>0</v>
      </c>
      <c r="X36" s="471">
        <f t="shared" si="11"/>
        <v>0</v>
      </c>
      <c r="Y36" s="470"/>
      <c r="Z36" s="470"/>
      <c r="AA36" s="469"/>
      <c r="AB36" s="475">
        <f t="shared" si="19"/>
        <v>0</v>
      </c>
      <c r="AC36" s="475">
        <f t="shared" si="20"/>
        <v>0</v>
      </c>
      <c r="AD36" s="475">
        <f t="shared" si="21"/>
        <v>0</v>
      </c>
      <c r="AE36" s="475">
        <f t="shared" si="22"/>
        <v>0</v>
      </c>
      <c r="AF36" s="476">
        <f t="shared" si="23"/>
        <v>0</v>
      </c>
      <c r="AG36" s="475">
        <f t="shared" si="24"/>
        <v>0</v>
      </c>
      <c r="AH36" s="476">
        <f t="shared" si="25"/>
        <v>0</v>
      </c>
      <c r="AI36" s="475">
        <f t="shared" si="26"/>
        <v>0</v>
      </c>
      <c r="AJ36" s="477">
        <f>IF((D36&lt;&gt;""),VLOOKUP(D36,Données!$E$36:$H$59,4,FALSE),)</f>
        <v>0</v>
      </c>
      <c r="AK36" s="477">
        <f t="shared" si="27"/>
        <v>0</v>
      </c>
      <c r="AL36" s="478">
        <f t="shared" si="28"/>
        <v>0</v>
      </c>
      <c r="AM36" s="479">
        <f t="shared" si="29"/>
        <v>0</v>
      </c>
      <c r="AN36" s="480">
        <f t="shared" si="12"/>
        <v>0</v>
      </c>
      <c r="AO36" s="477">
        <f t="shared" si="13"/>
        <v>0</v>
      </c>
      <c r="AP36" s="481">
        <f t="shared" si="30"/>
        <v>0</v>
      </c>
      <c r="AQ36" s="481">
        <f t="shared" si="31"/>
        <v>0</v>
      </c>
      <c r="AR36" s="481">
        <f t="shared" si="32"/>
        <v>0</v>
      </c>
      <c r="AS36" s="481">
        <f t="shared" si="33"/>
        <v>0</v>
      </c>
      <c r="AT36" s="479">
        <f t="shared" si="14"/>
        <v>0</v>
      </c>
      <c r="AU36" s="479">
        <f t="shared" si="15"/>
        <v>0</v>
      </c>
      <c r="AV36" s="471">
        <f>IF(Données!$H$8="x",AW36,AX36)</f>
        <v>6.9666666666666632</v>
      </c>
      <c r="AW36" s="471">
        <f t="shared" si="2"/>
        <v>3.4833333333333316</v>
      </c>
      <c r="AX36" s="471">
        <f t="shared" si="39"/>
        <v>6.9666666666666632</v>
      </c>
      <c r="AY36" s="467" t="str">
        <f t="shared" si="17"/>
        <v>Ma</v>
      </c>
      <c r="AZ36" s="7">
        <f>IF((S40="O4ir")*AND(S41&lt;&gt;""),VLOOKUP(S41,Échelle!$AX$39:$AY$65,2),)</f>
        <v>0</v>
      </c>
      <c r="BA36" s="4" t="s">
        <v>33</v>
      </c>
      <c r="BB36" s="148"/>
    </row>
    <row r="37" spans="2:54" x14ac:dyDescent="0.2">
      <c r="B37" s="467" t="s">
        <v>178</v>
      </c>
      <c r="C37" s="468" t="s">
        <v>505</v>
      </c>
      <c r="D37" s="469"/>
      <c r="E37" s="469"/>
      <c r="F37" s="470"/>
      <c r="G37" s="470"/>
      <c r="H37" s="470"/>
      <c r="I37" s="470"/>
      <c r="J37" s="492"/>
      <c r="K37" s="492"/>
      <c r="L37" s="471">
        <f t="shared" si="0"/>
        <v>0</v>
      </c>
      <c r="M37" s="471">
        <f t="shared" si="18"/>
        <v>0.6333333333333333</v>
      </c>
      <c r="N37" s="488">
        <f>IF(Juil!$H$48="x",AV37+Juil!$N$37,AV37)</f>
        <v>13.933333333333326</v>
      </c>
      <c r="O37" s="493" t="str">
        <f t="shared" si="3"/>
        <v>-</v>
      </c>
      <c r="P37" s="489">
        <f t="shared" si="4"/>
        <v>13.299999999999994</v>
      </c>
      <c r="Q37" s="494">
        <f t="shared" si="5"/>
        <v>0</v>
      </c>
      <c r="R37" s="494">
        <f t="shared" si="6"/>
        <v>0</v>
      </c>
      <c r="S37" s="494">
        <f t="shared" si="7"/>
        <v>0</v>
      </c>
      <c r="T37" s="494">
        <f t="shared" si="8"/>
        <v>0</v>
      </c>
      <c r="U37" s="488">
        <f t="shared" si="9"/>
        <v>0</v>
      </c>
      <c r="V37" s="488">
        <f t="shared" si="38"/>
        <v>0</v>
      </c>
      <c r="W37" s="471">
        <f t="shared" si="10"/>
        <v>0</v>
      </c>
      <c r="X37" s="471">
        <f t="shared" si="11"/>
        <v>0</v>
      </c>
      <c r="Y37" s="470"/>
      <c r="Z37" s="470"/>
      <c r="AA37" s="469"/>
      <c r="AB37" s="475">
        <f t="shared" si="19"/>
        <v>0</v>
      </c>
      <c r="AC37" s="475">
        <f t="shared" si="20"/>
        <v>0</v>
      </c>
      <c r="AD37" s="475">
        <f t="shared" si="21"/>
        <v>0</v>
      </c>
      <c r="AE37" s="475">
        <f t="shared" si="22"/>
        <v>0</v>
      </c>
      <c r="AF37" s="476">
        <f t="shared" si="23"/>
        <v>0</v>
      </c>
      <c r="AG37" s="475">
        <f t="shared" si="24"/>
        <v>0</v>
      </c>
      <c r="AH37" s="476">
        <f t="shared" si="25"/>
        <v>0</v>
      </c>
      <c r="AI37" s="475">
        <f t="shared" si="26"/>
        <v>0</v>
      </c>
      <c r="AJ37" s="477">
        <f>IF((D37&lt;&gt;""),VLOOKUP(D37,Données!$E$36:$H$59,4,FALSE),)</f>
        <v>0</v>
      </c>
      <c r="AK37" s="477">
        <f t="shared" si="27"/>
        <v>0</v>
      </c>
      <c r="AL37" s="478">
        <f t="shared" si="28"/>
        <v>0</v>
      </c>
      <c r="AM37" s="479">
        <f t="shared" si="29"/>
        <v>0</v>
      </c>
      <c r="AN37" s="480">
        <f t="shared" si="12"/>
        <v>0</v>
      </c>
      <c r="AO37" s="477">
        <f t="shared" si="13"/>
        <v>0</v>
      </c>
      <c r="AP37" s="481">
        <f t="shared" si="30"/>
        <v>0</v>
      </c>
      <c r="AQ37" s="481">
        <f t="shared" si="31"/>
        <v>0</v>
      </c>
      <c r="AR37" s="481">
        <f t="shared" si="32"/>
        <v>0</v>
      </c>
      <c r="AS37" s="481">
        <f t="shared" si="33"/>
        <v>0</v>
      </c>
      <c r="AT37" s="479">
        <f t="shared" si="14"/>
        <v>0</v>
      </c>
      <c r="AU37" s="479">
        <f t="shared" si="15"/>
        <v>0</v>
      </c>
      <c r="AV37" s="471">
        <f>IF(Données!$H$8="x",AW37,AX37)</f>
        <v>7.2833333333333297</v>
      </c>
      <c r="AW37" s="471">
        <f t="shared" si="2"/>
        <v>3.6416666666666648</v>
      </c>
      <c r="AX37" s="471">
        <f t="shared" si="39"/>
        <v>7.2833333333333297</v>
      </c>
      <c r="AY37" s="467" t="str">
        <f t="shared" si="17"/>
        <v>Me</v>
      </c>
      <c r="AZ37" s="7">
        <f>IF((S40="O5")*AND(S41&lt;&gt;""),VLOOKUP(S41,Échelle!$AC$39:$AD$65,2),)</f>
        <v>0</v>
      </c>
      <c r="BA37" s="4" t="s">
        <v>26</v>
      </c>
      <c r="BB37" s="148"/>
    </row>
    <row r="38" spans="2:54" x14ac:dyDescent="0.2">
      <c r="AB38" s="200">
        <f t="shared" ref="AB38:AI38" si="40">SUM(AB7:AB37)</f>
        <v>0</v>
      </c>
      <c r="AC38" s="200">
        <f t="shared" si="40"/>
        <v>0</v>
      </c>
      <c r="AD38" s="200">
        <f t="shared" si="40"/>
        <v>0</v>
      </c>
      <c r="AE38" s="200">
        <f t="shared" si="40"/>
        <v>0</v>
      </c>
      <c r="AF38" s="200">
        <f t="shared" si="40"/>
        <v>0</v>
      </c>
      <c r="AG38" s="200">
        <f t="shared" si="40"/>
        <v>0</v>
      </c>
      <c r="AH38" s="200">
        <f t="shared" si="40"/>
        <v>0</v>
      </c>
      <c r="AI38" s="200">
        <f t="shared" si="40"/>
        <v>0</v>
      </c>
      <c r="AK38" s="200">
        <f>SUM(AK7:AK37)</f>
        <v>0</v>
      </c>
      <c r="AM38" s="4">
        <f>SUM(AM7:AM37)+AT38</f>
        <v>0</v>
      </c>
      <c r="AN38" s="39"/>
      <c r="AO38" s="7"/>
      <c r="AP38" s="4">
        <f>SUM(AP7:AP37)</f>
        <v>0</v>
      </c>
      <c r="AQ38" s="4">
        <f>SUM(AQ7:AQ37)</f>
        <v>0</v>
      </c>
      <c r="AR38" s="4">
        <f>SUM(AR7:AR37)</f>
        <v>0</v>
      </c>
      <c r="AS38" s="4">
        <f>SUM(AS7:AS37)</f>
        <v>0</v>
      </c>
      <c r="AT38" s="4">
        <f>SUM(AT7:AT37)</f>
        <v>0</v>
      </c>
      <c r="AU38" s="4">
        <f>SUM(AU7:AU37)+AT38</f>
        <v>0</v>
      </c>
      <c r="AW38" s="28"/>
      <c r="AZ38" s="7">
        <f>IF((S40="O5ir")*AND(S41&lt;&gt;""),VLOOKUP(S41,Échelle!$BA$39:$BB$65,2),)</f>
        <v>0</v>
      </c>
      <c r="BA38" s="4" t="s">
        <v>34</v>
      </c>
      <c r="BB38" s="4"/>
    </row>
    <row r="39" spans="2:54" x14ac:dyDescent="0.2">
      <c r="C39" s="35" t="s">
        <v>99</v>
      </c>
      <c r="D39" s="61"/>
      <c r="E39" s="61"/>
      <c r="F39" s="35"/>
      <c r="G39" s="35"/>
      <c r="H39" s="35"/>
      <c r="W39" s="361" t="s">
        <v>215</v>
      </c>
      <c r="X39" s="362"/>
      <c r="Z39" s="211" t="s">
        <v>216</v>
      </c>
      <c r="AA39" s="387" t="s">
        <v>217</v>
      </c>
      <c r="AB39" s="200">
        <f t="shared" ref="AB39:AI39" si="41">IF((MINUTE(AB38)&gt;=30),(AB38+0.041666667),AB38)</f>
        <v>0</v>
      </c>
      <c r="AC39" s="200">
        <f t="shared" si="41"/>
        <v>0</v>
      </c>
      <c r="AD39" s="200">
        <f t="shared" si="41"/>
        <v>0</v>
      </c>
      <c r="AE39" s="200">
        <f t="shared" si="41"/>
        <v>0</v>
      </c>
      <c r="AF39" s="200">
        <f t="shared" si="41"/>
        <v>0</v>
      </c>
      <c r="AG39" s="200">
        <f t="shared" si="41"/>
        <v>0</v>
      </c>
      <c r="AH39" s="200">
        <f t="shared" si="41"/>
        <v>0</v>
      </c>
      <c r="AI39" s="200">
        <f t="shared" si="41"/>
        <v>0</v>
      </c>
      <c r="AK39" s="200">
        <f>IF((MINUTE(AK38)&gt;=30),(AK38+0.041666667),AK38)</f>
        <v>0</v>
      </c>
      <c r="AM39" s="97">
        <f>AM38*(6.7*AA40)</f>
        <v>0</v>
      </c>
      <c r="AN39" s="39">
        <f>SUM(AN7:AN37)</f>
        <v>0</v>
      </c>
      <c r="AO39" s="7"/>
      <c r="AP39" s="4"/>
      <c r="AQ39" s="4"/>
      <c r="AR39" s="4"/>
      <c r="AS39" s="4"/>
      <c r="AT39" s="4"/>
      <c r="AU39" s="4"/>
      <c r="AW39" s="28"/>
      <c r="AZ39" s="7">
        <f>IF((S40="O6")*AND(S41&lt;&gt;""),VLOOKUP(S41,Échelle!$AF$39:$AG$65,2),)</f>
        <v>0</v>
      </c>
      <c r="BA39" s="4" t="s">
        <v>27</v>
      </c>
      <c r="BB39" s="4"/>
    </row>
    <row r="40" spans="2:54" x14ac:dyDescent="0.2">
      <c r="C40" s="62" t="s">
        <v>218</v>
      </c>
      <c r="D40" s="63"/>
      <c r="E40" s="63"/>
      <c r="F40" s="65"/>
      <c r="G40" s="64"/>
      <c r="H40" s="41">
        <f>Juil!$H$45</f>
        <v>33</v>
      </c>
      <c r="J40" s="12" t="s">
        <v>506</v>
      </c>
      <c r="K40" s="13"/>
      <c r="L40" s="14"/>
      <c r="M40" s="13"/>
      <c r="N40" s="22"/>
      <c r="O40" s="13"/>
      <c r="P40" s="14"/>
      <c r="Q40" s="14"/>
      <c r="R40" s="24"/>
      <c r="S40" s="161" t="s">
        <v>14</v>
      </c>
      <c r="T40" s="359" t="s">
        <v>220</v>
      </c>
      <c r="U40" s="360"/>
      <c r="V40" s="360"/>
      <c r="W40" s="268">
        <v>1</v>
      </c>
      <c r="X40" s="267" t="s">
        <v>221</v>
      </c>
      <c r="Z40" s="214">
        <v>1.7758</v>
      </c>
      <c r="AA40" s="388">
        <f>Z40</f>
        <v>1.7758</v>
      </c>
      <c r="AB40" s="200">
        <f t="shared" ref="AB40:AI40" si="42">IF(MINUTE(AB39)&gt;0,FLOOR(AB39,0.041666667),AB39)</f>
        <v>0</v>
      </c>
      <c r="AC40" s="200">
        <f t="shared" si="42"/>
        <v>0</v>
      </c>
      <c r="AD40" s="200">
        <f t="shared" si="42"/>
        <v>0</v>
      </c>
      <c r="AE40" s="200">
        <f t="shared" si="42"/>
        <v>0</v>
      </c>
      <c r="AF40" s="200">
        <f t="shared" si="42"/>
        <v>0</v>
      </c>
      <c r="AG40" s="200">
        <f t="shared" si="42"/>
        <v>0</v>
      </c>
      <c r="AH40" s="200">
        <f t="shared" si="42"/>
        <v>0</v>
      </c>
      <c r="AI40" s="200">
        <f t="shared" si="42"/>
        <v>0</v>
      </c>
      <c r="AK40" s="222">
        <f>IF(MINUTE(AK39)&gt;0,FLOOR(AK39,0.041666667),AK39)</f>
        <v>0</v>
      </c>
      <c r="AL40" s="4"/>
      <c r="AM40" s="4"/>
      <c r="AO40" s="4"/>
      <c r="AP40" s="4"/>
      <c r="AQ40" s="4"/>
      <c r="AR40" s="4"/>
      <c r="AS40" s="4"/>
      <c r="AT40" s="4"/>
      <c r="AU40" s="4"/>
      <c r="AZ40" s="7">
        <f>IF((S40="O6ir")*AND(S41&lt;&gt;""),VLOOKUP(S41,Échelle!$BD$39:$BE$65,2),)</f>
        <v>0</v>
      </c>
      <c r="BA40" s="4" t="s">
        <v>35</v>
      </c>
      <c r="BB40" s="4"/>
    </row>
    <row r="41" spans="2:54" ht="13.5" thickBot="1" x14ac:dyDescent="0.25">
      <c r="C41" s="62" t="s">
        <v>222</v>
      </c>
      <c r="D41" s="63"/>
      <c r="E41" s="63"/>
      <c r="F41" s="65"/>
      <c r="G41" s="64"/>
      <c r="H41" s="118">
        <v>0</v>
      </c>
      <c r="J41" s="15" t="s">
        <v>507</v>
      </c>
      <c r="K41" s="16"/>
      <c r="L41" s="17"/>
      <c r="M41" s="16"/>
      <c r="N41" s="16"/>
      <c r="O41" s="16"/>
      <c r="P41" s="17"/>
      <c r="Q41" s="17"/>
      <c r="R41" s="25"/>
      <c r="S41" s="162">
        <v>29</v>
      </c>
      <c r="T41" s="363">
        <f>AZ44</f>
        <v>33124</v>
      </c>
      <c r="U41" s="364"/>
      <c r="V41" s="365"/>
      <c r="W41" s="317">
        <v>21822</v>
      </c>
      <c r="X41" s="317">
        <v>21498.68</v>
      </c>
      <c r="Z41" s="47"/>
      <c r="AA41" s="47"/>
      <c r="AF41" s="123"/>
      <c r="AG41" s="22"/>
      <c r="AH41" s="13" t="s">
        <v>229</v>
      </c>
      <c r="AI41" s="13"/>
      <c r="AJ41" s="124"/>
      <c r="AK41" s="13" t="s">
        <v>231</v>
      </c>
      <c r="AL41" s="13"/>
      <c r="AM41" s="22"/>
      <c r="AN41" s="124"/>
      <c r="AP41" s="4"/>
      <c r="AQ41" s="4"/>
      <c r="AR41" s="4"/>
      <c r="AS41" s="4"/>
      <c r="AT41" s="4"/>
      <c r="AU41" s="4"/>
      <c r="AZ41" s="7">
        <f>IF((S40="O7")*AND(S41&lt;&gt;""),VLOOKUP(S41,Échelle!$AI$39:$AJ$65,2),)</f>
        <v>0</v>
      </c>
      <c r="BA41" s="4" t="s">
        <v>28</v>
      </c>
      <c r="BB41" s="2"/>
    </row>
    <row r="42" spans="2:54" ht="13.5" thickTop="1" x14ac:dyDescent="0.2">
      <c r="C42" s="62" t="s">
        <v>224</v>
      </c>
      <c r="D42" s="228"/>
      <c r="E42" s="228"/>
      <c r="F42" s="144"/>
      <c r="G42" s="144"/>
      <c r="H42" s="115">
        <f>AN39</f>
        <v>0</v>
      </c>
      <c r="I42" s="45"/>
      <c r="J42" s="18" t="s">
        <v>225</v>
      </c>
      <c r="K42" s="4"/>
      <c r="L42" s="98"/>
      <c r="M42" s="223">
        <f>AK40</f>
        <v>0</v>
      </c>
      <c r="N42" s="35" t="s">
        <v>226</v>
      </c>
      <c r="O42" s="75"/>
      <c r="P42" s="47"/>
      <c r="Q42" s="47"/>
      <c r="R42" s="47"/>
      <c r="S42" s="114"/>
      <c r="T42" s="116"/>
      <c r="U42" s="158">
        <f>IF(X3="x",(M42*AK43/0.041666667),0)</f>
        <v>0</v>
      </c>
      <c r="V42" s="26" t="s">
        <v>227</v>
      </c>
      <c r="W42" s="160">
        <f>IF(Z3="x",(M42*AH43/0.041666667),0)</f>
        <v>0</v>
      </c>
      <c r="X42" s="26" t="s">
        <v>227</v>
      </c>
      <c r="Z42" s="216" t="s">
        <v>228</v>
      </c>
      <c r="AA42" s="217"/>
      <c r="AF42" s="281"/>
      <c r="AG42" s="283"/>
      <c r="AH42" s="21">
        <f>X41*1.2434/1850</f>
        <v>14.449437141621623</v>
      </c>
      <c r="AI42" s="21"/>
      <c r="AJ42" s="48"/>
      <c r="AK42" s="21">
        <f>T41*AA40/1850</f>
        <v>31.795459027027029</v>
      </c>
      <c r="AL42" s="21" t="s">
        <v>230</v>
      </c>
      <c r="AM42" s="46"/>
      <c r="AN42" s="48"/>
      <c r="AP42" s="4"/>
      <c r="AQ42" s="4"/>
      <c r="AR42" s="4"/>
      <c r="AS42" s="4"/>
      <c r="AT42" s="4"/>
      <c r="AU42" s="4"/>
      <c r="AZ42" s="7">
        <f>IF((S40="O8")*AND(S41&lt;&gt;""),VLOOKUP(S41,Échelle!$AL$39:$AM$68,2),)</f>
        <v>0</v>
      </c>
      <c r="BA42" s="4" t="s">
        <v>29</v>
      </c>
      <c r="BB42" s="2"/>
    </row>
    <row r="43" spans="2:54" x14ac:dyDescent="0.2">
      <c r="C43" s="62" t="s">
        <v>232</v>
      </c>
      <c r="D43" s="63"/>
      <c r="E43" s="63"/>
      <c r="F43" s="65"/>
      <c r="G43" s="303" t="s">
        <v>233</v>
      </c>
      <c r="H43" s="41">
        <f>AB43+(AB44/2)+(AB45/2)</f>
        <v>0</v>
      </c>
      <c r="J43" s="18" t="s">
        <v>234</v>
      </c>
      <c r="K43" s="4"/>
      <c r="L43" s="47"/>
      <c r="M43" s="224">
        <f>IF(Z3="x",AD40,)</f>
        <v>0</v>
      </c>
      <c r="N43" s="35" t="s">
        <v>226</v>
      </c>
      <c r="O43" s="75"/>
      <c r="P43" s="47"/>
      <c r="Q43" s="47"/>
      <c r="R43" s="47"/>
      <c r="S43" s="18"/>
      <c r="T43" s="103"/>
      <c r="U43" s="158"/>
      <c r="V43" s="26"/>
      <c r="W43" s="160">
        <f>IF(Z3="x",(M43*AH51/0.041666667),0)</f>
        <v>0</v>
      </c>
      <c r="X43" s="26"/>
      <c r="Z43" s="218" t="s">
        <v>235</v>
      </c>
      <c r="AA43" s="219"/>
      <c r="AB43" s="4">
        <f>COUNTIF(AL7:AL37,"1")</f>
        <v>0</v>
      </c>
      <c r="AD43" s="4">
        <f>M45*78</f>
        <v>0</v>
      </c>
      <c r="AF43" s="282"/>
      <c r="AG43" s="190" t="s">
        <v>155</v>
      </c>
      <c r="AH43" s="21">
        <f>AH42*0.9645*AK49/100*1.45</f>
        <v>9.3966730714961653</v>
      </c>
      <c r="AI43" s="21"/>
      <c r="AJ43" s="48"/>
      <c r="AK43" s="213">
        <f>(AK42*0.9645)*AK49/100</f>
        <v>14.260024907678918</v>
      </c>
      <c r="AL43" s="20" t="s">
        <v>236</v>
      </c>
      <c r="AM43" s="54"/>
      <c r="AN43" s="55"/>
      <c r="AP43" s="4"/>
      <c r="AQ43" s="4"/>
      <c r="AR43" s="4"/>
      <c r="AS43" s="4"/>
      <c r="AT43" s="4"/>
      <c r="AU43" s="4"/>
      <c r="AZ43" s="7">
        <f>IF((S40=Échelle!CB3)*AND(S41&lt;&gt;""),VLOOKUP(S41,Échelle!$CB$5:$CC$38,2),)</f>
        <v>0</v>
      </c>
      <c r="BA43" s="4" t="s">
        <v>237</v>
      </c>
      <c r="BB43" s="2"/>
    </row>
    <row r="44" spans="2:54" x14ac:dyDescent="0.2">
      <c r="C44" s="304"/>
      <c r="D44" s="66"/>
      <c r="E44" s="66"/>
      <c r="F44" s="67"/>
      <c r="G44" s="68"/>
      <c r="H44" s="73"/>
      <c r="J44" s="18" t="s">
        <v>238</v>
      </c>
      <c r="K44" s="21"/>
      <c r="L44" s="21"/>
      <c r="M44" s="224">
        <f>IF(X3="x",AF40,)</f>
        <v>0</v>
      </c>
      <c r="N44" s="35" t="s">
        <v>226</v>
      </c>
      <c r="O44" s="21"/>
      <c r="P44" s="21"/>
      <c r="Q44" s="21"/>
      <c r="R44" s="21"/>
      <c r="S44" s="18"/>
      <c r="T44" s="103"/>
      <c r="U44" s="158">
        <f>IF(X3="x",(M44*AK51/0.041666667),0)</f>
        <v>0</v>
      </c>
      <c r="V44" s="26" t="s">
        <v>227</v>
      </c>
      <c r="W44" s="160"/>
      <c r="X44" s="26" t="s">
        <v>227</v>
      </c>
      <c r="Z44" s="221">
        <f>AK48</f>
        <v>53.5</v>
      </c>
      <c r="AA44" s="220"/>
      <c r="AB44" s="4">
        <f>COUNTIF(AL7:AL37,"2")</f>
        <v>0</v>
      </c>
      <c r="AD44" s="4">
        <f>M47*23</f>
        <v>0</v>
      </c>
      <c r="AF44" s="53"/>
      <c r="AG44" s="20" t="s">
        <v>239</v>
      </c>
      <c r="AH44" s="197">
        <f>(W41*1.2434/1850)*0.009645*AK49</f>
        <v>6.5779242955345953</v>
      </c>
      <c r="AI44" s="197"/>
      <c r="AJ44" s="55"/>
      <c r="AK44" s="4">
        <v>1.24</v>
      </c>
      <c r="AL44" s="4" t="s">
        <v>240</v>
      </c>
      <c r="AP44" s="4"/>
      <c r="AQ44" s="4"/>
      <c r="AR44" s="4"/>
      <c r="AS44" s="4"/>
      <c r="AT44" s="4"/>
      <c r="AU44" s="4"/>
      <c r="AZ44" s="4">
        <f>SUM(AZ7:AZ43)</f>
        <v>33124</v>
      </c>
      <c r="BB44" s="2"/>
    </row>
    <row r="45" spans="2:54" x14ac:dyDescent="0.2">
      <c r="C45" s="69" t="s">
        <v>241</v>
      </c>
      <c r="D45" s="70"/>
      <c r="E45" s="70"/>
      <c r="F45" s="71"/>
      <c r="G45" s="72"/>
      <c r="H45" s="74">
        <f>H40-H43+H41+H42</f>
        <v>33</v>
      </c>
      <c r="J45" s="18" t="s">
        <v>242</v>
      </c>
      <c r="K45" s="21"/>
      <c r="L45" s="21"/>
      <c r="M45" s="224">
        <f>IF(X3="x",AG40,)</f>
        <v>0</v>
      </c>
      <c r="N45" s="35" t="s">
        <v>226</v>
      </c>
      <c r="O45" s="21"/>
      <c r="P45" s="21"/>
      <c r="Q45" s="21"/>
      <c r="R45" s="21"/>
      <c r="S45" s="18"/>
      <c r="T45" s="103"/>
      <c r="U45" s="158">
        <f>IF(X3="x",(M45*AK52/0.041666667),0)</f>
        <v>0</v>
      </c>
      <c r="V45" s="26" t="s">
        <v>227</v>
      </c>
      <c r="W45" s="160"/>
      <c r="X45" s="26" t="s">
        <v>227</v>
      </c>
      <c r="Y45" s="47"/>
      <c r="Z45" s="47"/>
      <c r="AA45" s="47"/>
      <c r="AB45" s="4">
        <f>COUNTIF(AL7:AL37,"7")</f>
        <v>0</v>
      </c>
      <c r="AG45" s="4"/>
      <c r="AH45" s="4"/>
      <c r="AI45" s="4"/>
      <c r="AK45" s="4">
        <v>2.48</v>
      </c>
      <c r="AL45" s="4" t="s">
        <v>169</v>
      </c>
      <c r="BB45" s="2"/>
    </row>
    <row r="46" spans="2:54" x14ac:dyDescent="0.2">
      <c r="J46" s="18" t="s">
        <v>243</v>
      </c>
      <c r="K46" s="4"/>
      <c r="L46" s="4"/>
      <c r="M46" s="100">
        <f>COUNTIF(Q7:Q37,"1")</f>
        <v>0</v>
      </c>
      <c r="N46" s="18" t="s">
        <v>244</v>
      </c>
      <c r="O46" s="4"/>
      <c r="P46" s="47"/>
      <c r="Q46" s="4"/>
      <c r="R46" s="39">
        <f>COUNTIF(Q7:Q37,"2")</f>
        <v>0</v>
      </c>
      <c r="S46" s="18"/>
      <c r="T46" s="187"/>
      <c r="U46" s="158">
        <f>IF(X3="x",(M46*AK45*AA40+(R46*AA40*6.2)),0)</f>
        <v>0</v>
      </c>
      <c r="V46" s="26" t="s">
        <v>227</v>
      </c>
      <c r="W46" s="158">
        <f>IF(Z3="x",(M46*AK45*AA40+(R46*AA40*6.2)),0)</f>
        <v>0</v>
      </c>
      <c r="X46" s="26" t="s">
        <v>227</v>
      </c>
      <c r="Y46" s="47"/>
      <c r="Z46" s="47"/>
      <c r="AA46" s="47"/>
      <c r="AB46" s="4" t="s">
        <v>375</v>
      </c>
      <c r="AC46" s="4"/>
      <c r="AF46" s="4">
        <f>M51*23</f>
        <v>0</v>
      </c>
      <c r="AG46" s="4"/>
      <c r="AH46" s="4"/>
      <c r="AI46" s="4"/>
      <c r="AK46" s="4">
        <v>2.48</v>
      </c>
      <c r="AL46" s="4" t="s">
        <v>170</v>
      </c>
      <c r="BB46" s="2"/>
    </row>
    <row r="47" spans="2:54" x14ac:dyDescent="0.2">
      <c r="C47" s="35" t="s">
        <v>306</v>
      </c>
      <c r="F47" s="4"/>
      <c r="G47" s="109" t="s">
        <v>307</v>
      </c>
      <c r="H47" s="109" t="s">
        <v>308</v>
      </c>
      <c r="J47" s="18" t="s">
        <v>249</v>
      </c>
      <c r="K47" s="21"/>
      <c r="L47" s="47"/>
      <c r="M47" s="100">
        <f>COUNTIF(R7:R37,"1")</f>
        <v>0</v>
      </c>
      <c r="N47" s="18" t="s">
        <v>250</v>
      </c>
      <c r="O47" s="21"/>
      <c r="P47" s="47"/>
      <c r="Q47" s="47"/>
      <c r="R47" s="47">
        <f>COUNTIF(R7:R37,"2")</f>
        <v>0</v>
      </c>
      <c r="S47" s="18"/>
      <c r="T47" s="103"/>
      <c r="U47" s="158">
        <f>IF(X3="x",(M47*AK46*AA40+(R47*AA40*6.2)),0)</f>
        <v>0</v>
      </c>
      <c r="V47" s="26" t="s">
        <v>227</v>
      </c>
      <c r="W47" s="158">
        <f>IF(Z3="x",(M47*AK46*AA40+(R47*AA40*6.2)),0)</f>
        <v>0</v>
      </c>
      <c r="X47" s="26" t="s">
        <v>227</v>
      </c>
      <c r="Y47" s="47"/>
      <c r="Z47" s="47"/>
      <c r="AA47" s="47"/>
      <c r="AB47" s="7">
        <f>IF((M37-N37-U4)&gt;0,(M37-N37-U4-G55),)</f>
        <v>0</v>
      </c>
      <c r="AC47" s="7">
        <f>IF((MINUTE(AB47)&gt;=30),(0.041666667),)</f>
        <v>0</v>
      </c>
      <c r="AD47" s="7">
        <f>AB47+AC47</f>
        <v>0</v>
      </c>
      <c r="AE47" s="7">
        <f>AD47</f>
        <v>0</v>
      </c>
      <c r="AG47" s="4"/>
      <c r="AH47" s="4"/>
      <c r="AI47" s="4"/>
      <c r="AK47" s="4">
        <v>1.74</v>
      </c>
      <c r="AL47" s="4" t="s">
        <v>251</v>
      </c>
      <c r="BB47" s="2"/>
    </row>
    <row r="48" spans="2:54" x14ac:dyDescent="0.2">
      <c r="C48" s="35" t="s">
        <v>252</v>
      </c>
      <c r="G48" s="127" t="s">
        <v>117</v>
      </c>
      <c r="H48" s="127"/>
      <c r="J48" s="18" t="s">
        <v>253</v>
      </c>
      <c r="K48" s="21"/>
      <c r="L48" s="21"/>
      <c r="M48" s="100">
        <f>COUNTIF(S7:S37,"1")</f>
        <v>0</v>
      </c>
      <c r="N48" s="18" t="s">
        <v>254</v>
      </c>
      <c r="O48" s="4"/>
      <c r="P48" s="4"/>
      <c r="Q48" s="21"/>
      <c r="R48" s="26">
        <f>COUNTIF(S7:S37,"2")</f>
        <v>0</v>
      </c>
      <c r="S48" s="21"/>
      <c r="T48" s="153"/>
      <c r="U48" s="158">
        <f>IF(X3="x",(M48*AK47*AA40+(R48*AA40*3.48)),0)</f>
        <v>0</v>
      </c>
      <c r="V48" s="26" t="s">
        <v>227</v>
      </c>
      <c r="W48" s="158">
        <f>IF(Z3="x",(M48*AK47*AA40+(R48*AA40*3.48)),0)</f>
        <v>0</v>
      </c>
      <c r="X48" s="26" t="s">
        <v>227</v>
      </c>
      <c r="AB48" s="7"/>
      <c r="AC48" s="7"/>
      <c r="AD48" s="7"/>
      <c r="AE48" s="7">
        <f>HOUR(AE47)</f>
        <v>0</v>
      </c>
      <c r="AG48" s="4"/>
      <c r="AH48" s="4"/>
      <c r="AI48" s="4"/>
      <c r="AK48" s="4">
        <f>VLOOKUP(AS48,Données!$F$74:$H$85,3)</f>
        <v>53.5</v>
      </c>
      <c r="AL48" s="4" t="s">
        <v>255</v>
      </c>
      <c r="AP48" s="385">
        <f>T41*Z40</f>
        <v>58821.599200000004</v>
      </c>
      <c r="AQ48" s="2">
        <f>AP48*0.075</f>
        <v>4411.6199400000005</v>
      </c>
      <c r="AR48" s="2">
        <f>AP48*0.0355</f>
        <v>2088.1667716000002</v>
      </c>
      <c r="AS48" s="225">
        <f>AP48-AQ48-AR48</f>
        <v>52321.812488400006</v>
      </c>
      <c r="BB48" s="2"/>
    </row>
    <row r="49" spans="3:54" x14ac:dyDescent="0.2">
      <c r="J49" s="18" t="s">
        <v>256</v>
      </c>
      <c r="K49" s="21"/>
      <c r="L49" s="21"/>
      <c r="M49" s="100">
        <f>COUNTIF(T7:T37,"1")</f>
        <v>0</v>
      </c>
      <c r="N49" s="18" t="s">
        <v>257</v>
      </c>
      <c r="O49" s="4"/>
      <c r="P49" s="4"/>
      <c r="Q49" s="21"/>
      <c r="R49" s="26">
        <f>COUNTIF(T7:T37,"2")</f>
        <v>0</v>
      </c>
      <c r="S49" s="21"/>
      <c r="T49" s="153"/>
      <c r="U49" s="158">
        <f>IF(X3="x",(M49*AK44*AA40+(R49*AA40*2.48)),0)</f>
        <v>0</v>
      </c>
      <c r="V49" s="26" t="s">
        <v>227</v>
      </c>
      <c r="W49" s="158">
        <f>IF(Z3="x",(M49*AK44*AA40+(R49*AA40*2.48)),0)</f>
        <v>0</v>
      </c>
      <c r="X49" s="26" t="s">
        <v>227</v>
      </c>
      <c r="AB49" s="7">
        <f>HOUR(AD47)*0.041666667</f>
        <v>0</v>
      </c>
      <c r="AD49" s="7"/>
      <c r="AG49" s="4"/>
      <c r="AH49" s="4"/>
      <c r="AI49" s="4"/>
      <c r="AK49" s="4">
        <f>100-AK48</f>
        <v>46.5</v>
      </c>
      <c r="AL49" s="4" t="s">
        <v>258</v>
      </c>
      <c r="BB49" s="2"/>
    </row>
    <row r="50" spans="3:54" x14ac:dyDescent="0.2">
      <c r="C50" s="4" t="s">
        <v>259</v>
      </c>
      <c r="F50" s="4"/>
      <c r="G50" s="4"/>
      <c r="J50" s="18" t="s">
        <v>260</v>
      </c>
      <c r="K50" s="4"/>
      <c r="L50" s="4"/>
      <c r="M50" s="224">
        <f>IF(AND(O37="+",G48="x",AB47&gt;=0),AB51,0)</f>
        <v>0</v>
      </c>
      <c r="N50" s="35" t="s">
        <v>226</v>
      </c>
      <c r="O50" s="75"/>
      <c r="P50" s="47"/>
      <c r="Q50" s="47"/>
      <c r="R50" s="47"/>
      <c r="S50" s="18"/>
      <c r="T50" s="103"/>
      <c r="U50" s="158">
        <f>IF(X3="x",(M50*AK43/0.041666667),0)</f>
        <v>0</v>
      </c>
      <c r="V50" s="26" t="s">
        <v>227</v>
      </c>
      <c r="W50" s="160">
        <f>IF(Z3="x",(M50*AH44/0.041666667),0)</f>
        <v>0</v>
      </c>
      <c r="X50" s="26" t="s">
        <v>227</v>
      </c>
      <c r="AB50" s="7"/>
      <c r="AD50" s="96"/>
      <c r="AG50" s="4"/>
      <c r="AH50" s="4"/>
      <c r="AI50" s="4"/>
      <c r="BB50" s="2"/>
    </row>
    <row r="51" spans="3:54" x14ac:dyDescent="0.2">
      <c r="C51" s="4" t="s">
        <v>261</v>
      </c>
      <c r="F51" s="4"/>
      <c r="G51" s="215">
        <v>0</v>
      </c>
      <c r="J51" s="18" t="s">
        <v>262</v>
      </c>
      <c r="K51" s="21"/>
      <c r="L51" s="21"/>
      <c r="M51" s="177">
        <f>AM38</f>
        <v>0</v>
      </c>
      <c r="N51" s="188" t="s">
        <v>263</v>
      </c>
      <c r="O51" s="153"/>
      <c r="P51" s="47"/>
      <c r="Q51" s="47"/>
      <c r="R51" s="47"/>
      <c r="S51" s="18"/>
      <c r="T51" s="153"/>
      <c r="U51" s="158">
        <f>IF(X3="x",AM39,0)</f>
        <v>0</v>
      </c>
      <c r="V51" s="26" t="s">
        <v>227</v>
      </c>
      <c r="W51" s="160">
        <f>IF(Z3="x",AM39,0)</f>
        <v>0</v>
      </c>
      <c r="X51" s="26" t="s">
        <v>227</v>
      </c>
      <c r="AB51" s="7">
        <f>IF(MINUTE(AB47)&gt;0,FLOOR(AE47,0.041666667),AE47)</f>
        <v>0</v>
      </c>
      <c r="AC51" s="96"/>
      <c r="AD51" s="96"/>
      <c r="AF51" s="7"/>
      <c r="AG51" s="4" t="s">
        <v>161</v>
      </c>
      <c r="AH51" s="4">
        <f>AH42*0.00325*0.9645*AK49</f>
        <v>2.1061508608525887</v>
      </c>
      <c r="AI51" s="4"/>
      <c r="AK51" s="97">
        <f>AK43/100*20</f>
        <v>2.8520049815357833</v>
      </c>
      <c r="AL51" s="4" t="s">
        <v>264</v>
      </c>
      <c r="BB51" s="2"/>
    </row>
    <row r="52" spans="3:54" x14ac:dyDescent="0.2">
      <c r="C52" s="245" t="s">
        <v>265</v>
      </c>
      <c r="J52" s="18" t="s">
        <v>266</v>
      </c>
      <c r="K52" s="47"/>
      <c r="L52" s="21"/>
      <c r="M52" s="100">
        <f>SUM(AA7:AA37)</f>
        <v>0</v>
      </c>
      <c r="N52" s="188" t="s">
        <v>267</v>
      </c>
      <c r="O52" s="21"/>
      <c r="P52" s="21"/>
      <c r="Q52" s="21"/>
      <c r="R52" s="21"/>
      <c r="S52" s="18"/>
      <c r="T52" s="187"/>
      <c r="U52" s="158">
        <f>IF(X3="x",(M52*Données!$T$13),0)</f>
        <v>0</v>
      </c>
      <c r="V52" s="26" t="s">
        <v>227</v>
      </c>
      <c r="W52" s="160">
        <f>IF(Z3="x",M52*0.2,0)</f>
        <v>0</v>
      </c>
      <c r="X52" s="26" t="s">
        <v>227</v>
      </c>
      <c r="AK52" s="97">
        <f>AK43/100*35</f>
        <v>4.9910087176876212</v>
      </c>
      <c r="AL52" s="4" t="s">
        <v>268</v>
      </c>
      <c r="BB52" s="2"/>
    </row>
    <row r="53" spans="3:54" x14ac:dyDescent="0.2">
      <c r="J53" s="18" t="s">
        <v>269</v>
      </c>
      <c r="K53" s="21"/>
      <c r="L53" s="21"/>
      <c r="M53" s="224">
        <f>AH54</f>
        <v>0</v>
      </c>
      <c r="N53" s="35" t="s">
        <v>226</v>
      </c>
      <c r="O53" s="21"/>
      <c r="P53" s="21"/>
      <c r="Q53" s="21"/>
      <c r="R53" s="21"/>
      <c r="S53" s="18"/>
      <c r="T53" s="153"/>
      <c r="U53" s="158">
        <f>IF(X3="x",(M53*AK54/0.041666667),0)</f>
        <v>0</v>
      </c>
      <c r="V53" s="26" t="s">
        <v>227</v>
      </c>
      <c r="W53" s="158">
        <f>IF(Z3="x",(M53*AK54/0.041666667),0)</f>
        <v>0</v>
      </c>
      <c r="X53" s="26" t="s">
        <v>227</v>
      </c>
      <c r="AK53" s="225"/>
      <c r="BB53" s="2"/>
    </row>
    <row r="54" spans="3:54" x14ac:dyDescent="0.2">
      <c r="C54" s="35" t="s">
        <v>270</v>
      </c>
      <c r="J54" s="18" t="s">
        <v>271</v>
      </c>
      <c r="K54" s="21"/>
      <c r="L54" s="21"/>
      <c r="M54" s="224">
        <f>AH55</f>
        <v>0</v>
      </c>
      <c r="N54" s="188" t="s">
        <v>226</v>
      </c>
      <c r="O54" s="21"/>
      <c r="P54" s="21"/>
      <c r="Q54" s="21"/>
      <c r="R54" s="21"/>
      <c r="S54" s="18"/>
      <c r="T54" s="153"/>
      <c r="U54" s="158">
        <f>IF(X3="x",(M54*AK55/0.041666667),0)</f>
        <v>0</v>
      </c>
      <c r="V54" s="26" t="s">
        <v>227</v>
      </c>
      <c r="W54" s="158">
        <f>IF(Z3="x",(M54*AK55/0.041666667),0)</f>
        <v>0</v>
      </c>
      <c r="X54" s="26" t="s">
        <v>227</v>
      </c>
      <c r="AE54" s="285">
        <f>SUM(Y7:Y37)</f>
        <v>0</v>
      </c>
      <c r="AF54" s="196">
        <f>IF(MINUTE(AE54)&gt;=30,AE54+0.041666667,AE54)</f>
        <v>0</v>
      </c>
      <c r="AG54" s="196"/>
      <c r="AH54" s="13">
        <f>IF(MINUTE(AF54)&gt;0,FLOOR(AF54,0.041666667),AF54)</f>
        <v>0</v>
      </c>
      <c r="AI54" s="13"/>
      <c r="AJ54" s="196"/>
      <c r="AK54" s="212">
        <f>AK43/24</f>
        <v>0.5941677044866216</v>
      </c>
      <c r="AL54" s="13" t="s">
        <v>272</v>
      </c>
      <c r="AM54" s="13"/>
      <c r="AN54" s="13"/>
      <c r="AO54" s="13"/>
      <c r="AP54" s="121"/>
      <c r="BB54" s="2"/>
    </row>
    <row r="55" spans="3:54" x14ac:dyDescent="0.2">
      <c r="C55" s="35" t="s">
        <v>261</v>
      </c>
      <c r="G55" s="198">
        <v>0</v>
      </c>
      <c r="J55" s="19" t="s">
        <v>273</v>
      </c>
      <c r="K55" s="20"/>
      <c r="L55" s="20"/>
      <c r="M55" s="318">
        <f>AU38</f>
        <v>0</v>
      </c>
      <c r="N55" s="20" t="s">
        <v>263</v>
      </c>
      <c r="O55" s="20"/>
      <c r="P55" s="20"/>
      <c r="Q55" s="20"/>
      <c r="R55" s="20"/>
      <c r="S55" s="19"/>
      <c r="T55" s="20"/>
      <c r="U55" s="159">
        <f>IF(X3="x",(M55*(2.81*AA40))/100*(100-Z44),0)</f>
        <v>0</v>
      </c>
      <c r="V55" s="27" t="s">
        <v>227</v>
      </c>
      <c r="W55" s="159">
        <f>IF(Z3="x",(M55*(2.81*AA40))/100*(100-Z44),0)</f>
        <v>0</v>
      </c>
      <c r="X55" s="27" t="s">
        <v>227</v>
      </c>
      <c r="AE55" s="286">
        <f>SUM(Z7:Z37)</f>
        <v>0</v>
      </c>
      <c r="AF55" s="197">
        <f>IF(MINUTE(AE55)&gt;=30,AE55+0.041666667,AE55)</f>
        <v>0</v>
      </c>
      <c r="AG55" s="197"/>
      <c r="AH55" s="20">
        <f>IF(MINUTE(AF55)&gt;0,FLOOR(AF55,0.041666667),AF55)</f>
        <v>0</v>
      </c>
      <c r="AI55" s="20"/>
      <c r="AJ55" s="197"/>
      <c r="AK55" s="213">
        <f>AK43/15</f>
        <v>0.95066832717859451</v>
      </c>
      <c r="AL55" s="20" t="s">
        <v>274</v>
      </c>
      <c r="AM55" s="20"/>
      <c r="AN55" s="20"/>
      <c r="AO55" s="20"/>
      <c r="AP55" s="119"/>
      <c r="BB55" s="2"/>
    </row>
    <row r="56" spans="3:54" x14ac:dyDescent="0.2">
      <c r="C56" s="245" t="s">
        <v>265</v>
      </c>
      <c r="E56" s="21"/>
      <c r="F56" s="47"/>
      <c r="G56" s="21"/>
      <c r="L56" s="104" t="s">
        <v>275</v>
      </c>
      <c r="M56" s="107"/>
      <c r="N56" s="19"/>
      <c r="O56" s="105"/>
      <c r="P56" s="99"/>
      <c r="Q56" s="99"/>
      <c r="R56" s="99"/>
      <c r="S56" s="19"/>
      <c r="T56" s="106"/>
      <c r="U56" s="159">
        <f>IF(X3="x",(SUM(U42:U55)),0)</f>
        <v>0</v>
      </c>
      <c r="V56" s="27" t="s">
        <v>227</v>
      </c>
      <c r="W56" s="159">
        <f>IF(Z3="x",(SUM(W42:W55)),0)</f>
        <v>0</v>
      </c>
      <c r="X56" s="27" t="s">
        <v>227</v>
      </c>
      <c r="BB56" s="2"/>
    </row>
    <row r="61" spans="3:54" x14ac:dyDescent="0.2">
      <c r="E61" s="32"/>
      <c r="F61" s="58"/>
      <c r="G61" s="32"/>
      <c r="H61" s="32"/>
      <c r="I61" s="32"/>
      <c r="J61" s="32"/>
      <c r="K61" s="32"/>
      <c r="L61" s="135"/>
      <c r="M61" s="191"/>
      <c r="N61" s="32"/>
      <c r="O61" s="30"/>
      <c r="P61" s="30"/>
      <c r="Q61" s="30"/>
      <c r="R61" s="32"/>
      <c r="S61" s="1"/>
      <c r="T61" s="1"/>
      <c r="U61" s="32"/>
      <c r="V61" s="32"/>
      <c r="W61" s="192"/>
      <c r="X61" s="30"/>
    </row>
    <row r="62" spans="3:54" x14ac:dyDescent="0.2">
      <c r="E62" s="32"/>
      <c r="F62" s="58"/>
      <c r="G62" s="32"/>
      <c r="H62" s="32"/>
      <c r="I62" s="32"/>
      <c r="J62" s="32"/>
      <c r="K62" s="32"/>
      <c r="L62" s="135"/>
      <c r="M62" s="191"/>
      <c r="N62" s="32"/>
      <c r="O62" s="30"/>
      <c r="P62" s="30"/>
      <c r="Q62" s="30"/>
      <c r="R62" s="32"/>
      <c r="S62" s="1"/>
      <c r="T62" s="1"/>
      <c r="U62" s="32"/>
      <c r="V62" s="32"/>
      <c r="W62" s="193"/>
      <c r="X62" s="32"/>
    </row>
  </sheetData>
  <sheetProtection algorithmName="SHA-512" hashValue="7IUaiEF32vGddLR60PCntgQDVWoZpBWsuyr79nIHyCkP8bqmz8HyS9YxOtHOiCog/Wo7sxOM2Zqcv9KOebFrpA==" saltValue="fv6Y/X6NkLQWKp9T7TdotA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horizontalDpi="300" verticalDpi="300" r:id="rId1"/>
  <headerFooter alignWithMargins="0"/>
  <ignoredErrors>
    <ignoredError sqref="Q7:T37" unlockedFormula="1"/>
  </ignoredError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pageSetUpPr fitToPage="1"/>
  </sheetPr>
  <dimension ref="A1:BB61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710937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6" width="5.7109375" style="5" customWidth="1"/>
    <col min="27" max="27" width="5.85546875" style="5" bestFit="1" customWidth="1"/>
    <col min="28" max="28" width="14" style="2" hidden="1" customWidth="1"/>
    <col min="29" max="29" width="5.2851562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3" width="10.42578125" style="2" hidden="1" customWidth="1"/>
    <col min="44" max="44" width="12" style="2" hidden="1" customWidth="1"/>
    <col min="45" max="46" width="10.42578125" style="2" hidden="1" customWidth="1"/>
    <col min="47" max="47" width="4.28515625" style="2" hidden="1" customWidth="1"/>
    <col min="48" max="48" width="7.7109375" style="39" hidden="1" customWidth="1"/>
    <col min="49" max="49" width="6.42578125" style="39" hidden="1" customWidth="1"/>
    <col min="50" max="50" width="5.7109375" style="2" hidden="1" customWidth="1"/>
    <col min="51" max="51" width="3" style="2" hidden="1" customWidth="1"/>
    <col min="52" max="52" width="5.28515625" style="4" hidden="1" customWidth="1"/>
    <col min="53" max="53" width="6.42578125" style="4" hidden="1" customWidth="1"/>
    <col min="54" max="54" width="51.7109375" customWidth="1"/>
    <col min="55" max="55" width="0" hidden="1" customWidth="1"/>
  </cols>
  <sheetData>
    <row r="1" spans="2:54" x14ac:dyDescent="0.2">
      <c r="C1" s="307"/>
      <c r="H1" s="248"/>
      <c r="X1" s="178"/>
      <c r="Y1" s="179"/>
      <c r="Z1" s="179" t="s">
        <v>110</v>
      </c>
      <c r="AA1" s="180"/>
      <c r="AD1" s="96">
        <v>0.29166666666666669</v>
      </c>
      <c r="AQ1" s="39" t="s">
        <v>111</v>
      </c>
      <c r="AR1" s="39" t="s">
        <v>112</v>
      </c>
      <c r="AS1" s="39" t="s">
        <v>113</v>
      </c>
      <c r="AT1" s="39" t="s">
        <v>114</v>
      </c>
      <c r="AU1" s="39"/>
      <c r="BB1" s="2"/>
    </row>
    <row r="2" spans="2:54" x14ac:dyDescent="0.2">
      <c r="C2" s="246"/>
      <c r="M2" s="136"/>
      <c r="N2" s="137"/>
      <c r="O2" s="137"/>
      <c r="P2" s="137"/>
      <c r="Q2" s="137"/>
      <c r="R2" s="137"/>
      <c r="S2" s="137"/>
      <c r="T2" s="137"/>
      <c r="U2" s="138"/>
      <c r="V2" s="139"/>
      <c r="X2" s="181" t="s">
        <v>115</v>
      </c>
      <c r="Y2" s="182"/>
      <c r="Z2" s="182" t="s">
        <v>116</v>
      </c>
      <c r="AA2" s="183"/>
      <c r="AC2" s="112"/>
      <c r="AD2" s="96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0"/>
      <c r="M3" s="140"/>
      <c r="N3" s="141"/>
      <c r="O3" s="141"/>
      <c r="P3" s="141"/>
      <c r="Q3" s="141"/>
      <c r="R3" s="141"/>
      <c r="S3" s="141"/>
      <c r="T3" s="141"/>
      <c r="U3" s="142"/>
      <c r="V3" s="143"/>
      <c r="X3" s="253" t="s">
        <v>117</v>
      </c>
      <c r="Y3" s="184"/>
      <c r="Z3" s="253"/>
      <c r="AA3" s="185"/>
      <c r="AD3" s="96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B4" s="277" t="s">
        <v>694</v>
      </c>
      <c r="C4" s="465" t="str">
        <f>Données!F6</f>
        <v>Memento 2022</v>
      </c>
      <c r="G4" s="4" t="s">
        <v>118</v>
      </c>
      <c r="I4" s="4"/>
      <c r="J4" s="4"/>
      <c r="K4" s="4"/>
      <c r="M4" s="386">
        <f>Août!$G$55</f>
        <v>0</v>
      </c>
      <c r="P4" s="4" t="s">
        <v>119</v>
      </c>
      <c r="Q4" s="4"/>
      <c r="R4" s="4"/>
      <c r="S4" s="4"/>
      <c r="T4" s="4"/>
      <c r="U4" s="199">
        <f>IF(Août!$H$48="x",Août!$U$4,Août!$G$51)</f>
        <v>0</v>
      </c>
      <c r="AV4" s="84"/>
      <c r="AW4" s="84" t="s">
        <v>120</v>
      </c>
      <c r="AX4" s="113">
        <v>0</v>
      </c>
      <c r="AY4" s="113"/>
      <c r="BB4" s="2"/>
    </row>
    <row r="5" spans="2:54" x14ac:dyDescent="0.2">
      <c r="B5" s="81"/>
      <c r="C5" s="82"/>
      <c r="D5" s="83" t="s">
        <v>122</v>
      </c>
      <c r="E5" s="83" t="s">
        <v>123</v>
      </c>
      <c r="F5" s="90" t="s">
        <v>124</v>
      </c>
      <c r="G5" s="91"/>
      <c r="H5" s="90" t="s">
        <v>124</v>
      </c>
      <c r="I5" s="91"/>
      <c r="J5" s="90" t="s">
        <v>124</v>
      </c>
      <c r="K5" s="91"/>
      <c r="L5" s="90" t="s">
        <v>125</v>
      </c>
      <c r="M5" s="91"/>
      <c r="N5" s="84" t="s">
        <v>126</v>
      </c>
      <c r="O5" s="93" t="s">
        <v>127</v>
      </c>
      <c r="P5" s="92"/>
      <c r="Q5" s="90" t="s">
        <v>128</v>
      </c>
      <c r="R5" s="134"/>
      <c r="S5" s="134"/>
      <c r="T5" s="91"/>
      <c r="U5" s="84" t="s">
        <v>129</v>
      </c>
      <c r="V5" s="84" t="s">
        <v>130</v>
      </c>
      <c r="W5" s="84" t="s">
        <v>129</v>
      </c>
      <c r="X5" s="84" t="s">
        <v>129</v>
      </c>
      <c r="Y5" s="300"/>
      <c r="Z5" s="84" t="s">
        <v>131</v>
      </c>
      <c r="AA5" s="301" t="s">
        <v>132</v>
      </c>
      <c r="AB5" s="8" t="s">
        <v>133</v>
      </c>
      <c r="AC5" s="8" t="s">
        <v>134</v>
      </c>
      <c r="AD5" s="8" t="s">
        <v>135</v>
      </c>
      <c r="AE5" s="8" t="s">
        <v>136</v>
      </c>
      <c r="AF5" s="8" t="s">
        <v>137</v>
      </c>
      <c r="AG5" s="8" t="s">
        <v>137</v>
      </c>
      <c r="AH5" s="8" t="s">
        <v>138</v>
      </c>
      <c r="AI5" s="8" t="s">
        <v>139</v>
      </c>
      <c r="AO5" s="4"/>
      <c r="AT5" s="4" t="s">
        <v>140</v>
      </c>
      <c r="AU5" s="4"/>
      <c r="AV5" s="231" t="s">
        <v>141</v>
      </c>
      <c r="AW5" s="231" t="s">
        <v>142</v>
      </c>
      <c r="AX5" s="84" t="s">
        <v>126</v>
      </c>
      <c r="AY5" s="250"/>
      <c r="BB5" s="4"/>
    </row>
    <row r="6" spans="2:54" x14ac:dyDescent="0.2">
      <c r="B6" s="85" t="s">
        <v>143</v>
      </c>
      <c r="C6" s="86" t="s">
        <v>144</v>
      </c>
      <c r="D6" s="87" t="s">
        <v>44</v>
      </c>
      <c r="E6" s="87" t="s">
        <v>145</v>
      </c>
      <c r="F6" s="86" t="s">
        <v>44</v>
      </c>
      <c r="G6" s="86" t="s">
        <v>45</v>
      </c>
      <c r="H6" s="86" t="s">
        <v>44</v>
      </c>
      <c r="I6" s="86" t="s">
        <v>45</v>
      </c>
      <c r="J6" s="86" t="s">
        <v>44</v>
      </c>
      <c r="K6" s="86" t="s">
        <v>45</v>
      </c>
      <c r="L6" s="86" t="s">
        <v>146</v>
      </c>
      <c r="M6" s="86" t="s">
        <v>147</v>
      </c>
      <c r="N6" s="86" t="s">
        <v>148</v>
      </c>
      <c r="O6" s="94" t="s">
        <v>149</v>
      </c>
      <c r="P6" s="95"/>
      <c r="Q6" s="357" t="s">
        <v>150</v>
      </c>
      <c r="R6" s="357" t="s">
        <v>151</v>
      </c>
      <c r="S6" s="357" t="s">
        <v>152</v>
      </c>
      <c r="T6" s="357" t="s">
        <v>153</v>
      </c>
      <c r="U6" s="176" t="s">
        <v>154</v>
      </c>
      <c r="V6" s="86" t="s">
        <v>155</v>
      </c>
      <c r="W6" s="86" t="s">
        <v>156</v>
      </c>
      <c r="X6" s="195" t="s">
        <v>157</v>
      </c>
      <c r="Y6" s="88" t="s">
        <v>131</v>
      </c>
      <c r="Z6" s="86" t="s">
        <v>158</v>
      </c>
      <c r="AA6" s="302" t="s">
        <v>159</v>
      </c>
      <c r="AB6" s="9" t="s">
        <v>160</v>
      </c>
      <c r="AC6" s="9" t="s">
        <v>160</v>
      </c>
      <c r="AD6" s="9" t="s">
        <v>137</v>
      </c>
      <c r="AE6" s="9" t="s">
        <v>161</v>
      </c>
      <c r="AF6" s="9" t="s">
        <v>156</v>
      </c>
      <c r="AG6" s="278" t="s">
        <v>157</v>
      </c>
      <c r="AH6" s="8" t="s">
        <v>137</v>
      </c>
      <c r="AI6" s="8" t="s">
        <v>162</v>
      </c>
      <c r="AJ6" s="56" t="s">
        <v>163</v>
      </c>
      <c r="AK6" s="11" t="s">
        <v>164</v>
      </c>
      <c r="AL6" s="101" t="s">
        <v>165</v>
      </c>
      <c r="AM6" s="10" t="s">
        <v>166</v>
      </c>
      <c r="AN6" s="10" t="s">
        <v>167</v>
      </c>
      <c r="AO6" s="10"/>
      <c r="AP6" s="11" t="s">
        <v>168</v>
      </c>
      <c r="AQ6" s="11" t="s">
        <v>169</v>
      </c>
      <c r="AR6" s="11" t="s">
        <v>170</v>
      </c>
      <c r="AS6" s="11" t="s">
        <v>171</v>
      </c>
      <c r="AT6" s="10" t="s">
        <v>166</v>
      </c>
      <c r="AU6" s="10" t="s">
        <v>172</v>
      </c>
      <c r="AV6" s="232" t="s">
        <v>173</v>
      </c>
      <c r="AW6" s="232" t="s">
        <v>174</v>
      </c>
      <c r="AX6" s="86" t="s">
        <v>148</v>
      </c>
      <c r="AY6" s="251"/>
      <c r="AZ6" s="11"/>
      <c r="BA6" s="11"/>
      <c r="BB6" s="11" t="s">
        <v>175</v>
      </c>
    </row>
    <row r="7" spans="2:54" x14ac:dyDescent="0.2">
      <c r="B7" s="467" t="s">
        <v>180</v>
      </c>
      <c r="C7" s="485" t="s">
        <v>508</v>
      </c>
      <c r="D7" s="486"/>
      <c r="E7" s="486"/>
      <c r="F7" s="470"/>
      <c r="G7" s="470"/>
      <c r="H7" s="470"/>
      <c r="I7" s="470"/>
      <c r="J7" s="487"/>
      <c r="K7" s="487"/>
      <c r="L7" s="471">
        <f t="shared" ref="L7:L29" si="0">(G7-F7)+(I7-H7)+(K7-J7)+AJ7+AO7</f>
        <v>0</v>
      </c>
      <c r="M7" s="471">
        <f>IF(Août!H48="x",(L7+Août!M37)+M4,L7+M4)</f>
        <v>0</v>
      </c>
      <c r="N7" s="488">
        <f>IF(Août!$H$48="x",AV7+Août!$N$37,AV7)</f>
        <v>0.31666666666666665</v>
      </c>
      <c r="O7" s="483" t="str">
        <f>IF((M7-N7-U$4)&lt;0,"-","+")</f>
        <v>-</v>
      </c>
      <c r="P7" s="489">
        <f>ABS(M7-N7-U$4)</f>
        <v>0.31666666666666665</v>
      </c>
      <c r="Q7" s="474">
        <f>AQ7</f>
        <v>0</v>
      </c>
      <c r="R7" s="474">
        <f>AR7</f>
        <v>0</v>
      </c>
      <c r="S7" s="474">
        <f>AS7</f>
        <v>0</v>
      </c>
      <c r="T7" s="474">
        <f>AP7</f>
        <v>0</v>
      </c>
      <c r="U7" s="488">
        <f>IF($Z$3="x",AD7,)</f>
        <v>0</v>
      </c>
      <c r="V7" s="488">
        <f t="shared" ref="V7:V8" si="1">IF(D7="F",L7,0)</f>
        <v>0</v>
      </c>
      <c r="W7" s="471">
        <f>IF($X$3="x",AF7,)</f>
        <v>0</v>
      </c>
      <c r="X7" s="471">
        <f>IF($X$3="x",AG7,)</f>
        <v>0</v>
      </c>
      <c r="Y7" s="470"/>
      <c r="Z7" s="470"/>
      <c r="AA7" s="469"/>
      <c r="AB7" s="475">
        <f>IF((G7&gt;$AD$3)*AND(F7&lt;=$AD$3),G7-$AD$3,)+IF(F7&gt;$AD$3,G7-F7,)+IF((I7&gt;$AD$3)*AND(H7&lt;=$AD$3),I7-$AD$3,)+IF((H7&gt;$AD$3),I7-H7,)+IF((K7&gt;$AD$3)*AND(J7&lt;=$AD$3),K7-$AD$3,)+IF((J7&gt;$AD$3),K7-J7,)</f>
        <v>0</v>
      </c>
      <c r="AC7" s="475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75">
        <f>AB7+AC7</f>
        <v>0</v>
      </c>
      <c r="AE7" s="475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76">
        <f>AB7-AE7</f>
        <v>0</v>
      </c>
      <c r="AG7" s="475">
        <f>AI7+AE7</f>
        <v>0</v>
      </c>
      <c r="AH7" s="476">
        <f>AD7</f>
        <v>0</v>
      </c>
      <c r="AI7" s="475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77">
        <f>IF((D7&lt;&gt;""),VLOOKUP(D7,Données!$E$36:$H$59,4,FALSE),)</f>
        <v>0</v>
      </c>
      <c r="AK7" s="477">
        <f>IF(V7&gt;0,L7,0)</f>
        <v>0</v>
      </c>
      <c r="AL7" s="478">
        <f>IF(L7&gt;0,D7,0)</f>
        <v>0</v>
      </c>
      <c r="AM7" s="479">
        <f>IF((E7="X")*OR(E7="x"),1,0)</f>
        <v>0</v>
      </c>
      <c r="AN7" s="480">
        <f>IF(D7="F",1,)+IF((D7="JP")*AND(((G7-F7)+(I7-H7)+(K7-J7))&gt;0),1,0)</f>
        <v>0</v>
      </c>
      <c r="AO7" s="477">
        <f>IF((D7="JP")*AND(((G7-F7)+(I7-H7)+(K7-J7))=0),"07:36",0)</f>
        <v>0</v>
      </c>
      <c r="AP7" s="481">
        <f>IF((F7&lt;=$AQ$2)*AND(G7&gt;=$AQ$3),1,)+IF((H7&lt;=$AQ$2)*AND(I7&gt;=$AQ$3),1,)+IF((J7&lt;=$AQ$2)*AND(K7&gt;=$AQ$3),1,)</f>
        <v>0</v>
      </c>
      <c r="AQ7" s="481">
        <f>IF((F7&lt;=$AR$2)*AND(G7&gt;=$AR$3),1,)+IF((H7&lt;=$AR$2)*AND(I7&gt;=$AR$3),1,)+IF((J7&lt;=$AR$2)*AND(K7&gt;=$AR$3),1,)</f>
        <v>0</v>
      </c>
      <c r="AR7" s="481">
        <f>IF((F7&lt;=$AS$2)*AND(G7&gt;=$AS$3),1,)+IF((H7&lt;=$AS$2)*AND(I7&gt;=$AS$3),1,)+IF((J7&lt;=$AS$2)*AND(K7&gt;=$AS$3),1,)</f>
        <v>0</v>
      </c>
      <c r="AS7" s="481">
        <f>IF((F7=$AT$2)*AND(G7&gt;=$AT$3),1,)+IF((H7=$AT$2)*AND(I7&gt;=$AT$3),1,)+IF((J7=$AT$2)*AND(K7&gt;=$AT$3),1,)</f>
        <v>0</v>
      </c>
      <c r="AT7" s="479">
        <f>IF((E7="me")*OR(E7="ME"),1,0)</f>
        <v>0</v>
      </c>
      <c r="AU7" s="479">
        <f>IF((E7="M")*OR(E7="m"),1,0)</f>
        <v>0</v>
      </c>
      <c r="AV7" s="471">
        <f>IF(Données!$H$8="x",AW7,AX7)</f>
        <v>0.31666666666666665</v>
      </c>
      <c r="AW7" s="471">
        <f t="shared" ref="AW7:AW36" si="2">AX7/2</f>
        <v>0.15833333333333333</v>
      </c>
      <c r="AX7" s="471">
        <f>IF(D7="L",AX4,(AX4+"07:36"))</f>
        <v>0.31666666666666665</v>
      </c>
      <c r="AY7" s="467" t="str">
        <f>B7</f>
        <v>Je</v>
      </c>
      <c r="AZ7" s="7">
        <f>IF((S39="HAU1")*AND(S40&lt;&gt;""),VLOOKUP(S40,Échelle!$Q$5:$R$31,2),)</f>
        <v>0</v>
      </c>
      <c r="BA7" s="4" t="s">
        <v>0</v>
      </c>
      <c r="BB7" s="148"/>
    </row>
    <row r="8" spans="2:54" x14ac:dyDescent="0.2">
      <c r="B8" s="467" t="s">
        <v>182</v>
      </c>
      <c r="C8" s="468" t="s">
        <v>509</v>
      </c>
      <c r="D8" s="469"/>
      <c r="E8" s="469"/>
      <c r="F8" s="470"/>
      <c r="G8" s="470"/>
      <c r="H8" s="470"/>
      <c r="I8" s="470"/>
      <c r="J8" s="487"/>
      <c r="K8" s="487"/>
      <c r="L8" s="471">
        <f t="shared" si="0"/>
        <v>0</v>
      </c>
      <c r="M8" s="471">
        <f>IF(H1="NIET-GEREGISTREERDE VERSIE","NUL",M7+L8)</f>
        <v>0</v>
      </c>
      <c r="N8" s="488">
        <f>IF(Août!$H$48="x",AV8+Août!$N$37,AV8)</f>
        <v>0.6333333333333333</v>
      </c>
      <c r="O8" s="483" t="str">
        <f t="shared" ref="O8:O36" si="3">IF((M8-N8-U$4)&lt;0,"-","+")</f>
        <v>-</v>
      </c>
      <c r="P8" s="489">
        <f t="shared" ref="P8:P36" si="4">ABS(M8-N8-U$4)</f>
        <v>0.6333333333333333</v>
      </c>
      <c r="Q8" s="474">
        <f t="shared" ref="Q8:Q36" si="5">AQ8</f>
        <v>0</v>
      </c>
      <c r="R8" s="474">
        <f t="shared" ref="R8:R36" si="6">AR8</f>
        <v>0</v>
      </c>
      <c r="S8" s="474">
        <f t="shared" ref="S8:S36" si="7">AS8</f>
        <v>0</v>
      </c>
      <c r="T8" s="474">
        <f t="shared" ref="T8:T36" si="8">AP8</f>
        <v>0</v>
      </c>
      <c r="U8" s="488">
        <f t="shared" ref="U8:U36" si="9">IF($Z$3="x",AD8,)</f>
        <v>0</v>
      </c>
      <c r="V8" s="488">
        <f t="shared" si="1"/>
        <v>0</v>
      </c>
      <c r="W8" s="471">
        <f t="shared" ref="W8:W36" si="10">IF($X$3="x",AF8,)</f>
        <v>0</v>
      </c>
      <c r="X8" s="471">
        <f t="shared" ref="X8:X36" si="11">IF($X$3="x",AG8,)</f>
        <v>0</v>
      </c>
      <c r="Y8" s="470"/>
      <c r="Z8" s="470"/>
      <c r="AA8" s="469"/>
      <c r="AB8" s="475">
        <f>IF((G8&gt;$AD$3)*AND(F8&lt;=$AD$3),G8-$AD$3,)+IF(F8&gt;$AD$3,G8-F8,)+IF((I8&gt;$AD$3)*AND(H8&lt;=$AD$3),I8-$AD$3,)+IF((H8&gt;$AD$3),I8-H8,)+IF((K8&gt;$AD$3)*AND(J8&lt;=$AD$3),K8-$AD$3,)+IF((J8&gt;$AD$3),K8-J8,)</f>
        <v>0</v>
      </c>
      <c r="AC8" s="475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75">
        <f>AB8+AC8</f>
        <v>0</v>
      </c>
      <c r="AE8" s="475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76">
        <f>AB8-AE8</f>
        <v>0</v>
      </c>
      <c r="AG8" s="475">
        <f>AI8+AE8</f>
        <v>0</v>
      </c>
      <c r="AH8" s="476">
        <f>AD8</f>
        <v>0</v>
      </c>
      <c r="AI8" s="475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77">
        <f>IF((D8&lt;&gt;""),VLOOKUP(D8,Données!$E$36:$H$59,4,FALSE),)</f>
        <v>0</v>
      </c>
      <c r="AK8" s="477">
        <f>IF(V8&gt;0,L8,0)</f>
        <v>0</v>
      </c>
      <c r="AL8" s="478">
        <f>IF(L8&gt;0,D8,0)</f>
        <v>0</v>
      </c>
      <c r="AM8" s="479">
        <f>IF((E8="X")*OR(E8="x"),1,0)</f>
        <v>0</v>
      </c>
      <c r="AN8" s="480">
        <f t="shared" ref="AN8:AN36" si="12">IF(D8="F",1,)+IF((D8="JP")*AND(((G8-F8)+(I8-H8)+(K8-J8))&gt;0),1,0)</f>
        <v>0</v>
      </c>
      <c r="AO8" s="477">
        <f t="shared" ref="AO8:AO36" si="13">IF((D8="JP")*AND(((G8-F8)+(I8-H8)+(K8-J8))=0),"07:36",0)</f>
        <v>0</v>
      </c>
      <c r="AP8" s="481">
        <f>IF((F8&lt;=$AQ$2)*AND(G8&gt;=$AQ$3),1,)+IF((H8&lt;=$AQ$2)*AND(I8&gt;=$AQ$3),1,)+IF((J8&lt;=$AQ$2)*AND(K8&gt;=$AQ$3),1,)</f>
        <v>0</v>
      </c>
      <c r="AQ8" s="481">
        <f>IF((F8&lt;=$AR$2)*AND(G8&gt;=$AR$3),1,)+IF((H8&lt;=$AR$2)*AND(I8&gt;=$AR$3),1,)+IF((J8&lt;=$AR$2)*AND(K8&gt;=$AR$3),1,)</f>
        <v>0</v>
      </c>
      <c r="AR8" s="481">
        <f>IF((F8&lt;=$AS$2)*AND(G8&gt;=$AS$3),1,)+IF((H8&lt;=$AS$2)*AND(I8&gt;=$AS$3),1,)+IF((J8&lt;=$AS$2)*AND(K8&gt;=$AS$3),1,)</f>
        <v>0</v>
      </c>
      <c r="AS8" s="481">
        <f>IF((F8=$AT$2)*AND(G8&gt;=$AT$3),1,)+IF((H8=$AT$2)*AND(I8&gt;=$AT$3),1,)+IF((J8=$AT$2)*AND(K8&gt;=$AT$3),1,)</f>
        <v>0</v>
      </c>
      <c r="AT8" s="479">
        <f t="shared" ref="AT8:AT36" si="14">IF((E8="me")*OR(E8="ME"),1,0)</f>
        <v>0</v>
      </c>
      <c r="AU8" s="479">
        <f t="shared" ref="AU8:AU36" si="15">IF((E8="M")*OR(E8="m"),1,0)</f>
        <v>0</v>
      </c>
      <c r="AV8" s="471">
        <f>IF(Données!$H$8="x",AW8,AX8)</f>
        <v>0.6333333333333333</v>
      </c>
      <c r="AW8" s="471">
        <f t="shared" si="2"/>
        <v>0.31666666666666665</v>
      </c>
      <c r="AX8" s="471">
        <f t="shared" ref="AX8" si="16">IF(D8="L",AX7,(AX7+"07:36"))</f>
        <v>0.6333333333333333</v>
      </c>
      <c r="AY8" s="467" t="str">
        <f t="shared" ref="AY8:AY36" si="17">B8</f>
        <v>Ve</v>
      </c>
      <c r="AZ8" s="7">
        <f>IF((S39="HAU2")*AND(S40&lt;&gt;""),VLOOKUP(S40,Échelle!$T$5:$U$31,2),)</f>
        <v>0</v>
      </c>
      <c r="BA8" s="4" t="s">
        <v>1</v>
      </c>
      <c r="BB8" s="148"/>
    </row>
    <row r="9" spans="2:54" x14ac:dyDescent="0.2">
      <c r="B9" s="403" t="s">
        <v>184</v>
      </c>
      <c r="C9" s="412" t="s">
        <v>510</v>
      </c>
      <c r="D9" s="411"/>
      <c r="E9" s="411"/>
      <c r="F9" s="401"/>
      <c r="G9" s="401"/>
      <c r="H9" s="401"/>
      <c r="I9" s="401"/>
      <c r="J9" s="406"/>
      <c r="K9" s="406"/>
      <c r="L9" s="402">
        <f>(G9-F9)+(I9-H9)+(K9-J9)</f>
        <v>0</v>
      </c>
      <c r="M9" s="402">
        <f>M8+L9</f>
        <v>0</v>
      </c>
      <c r="N9" s="407">
        <f>IF(Août!$H$48="x",AV9+Août!$N$37,AV9)</f>
        <v>0.6333333333333333</v>
      </c>
      <c r="O9" s="408" t="str">
        <f t="shared" si="3"/>
        <v>-</v>
      </c>
      <c r="P9" s="409">
        <f t="shared" si="4"/>
        <v>0.6333333333333333</v>
      </c>
      <c r="Q9" s="410">
        <f t="shared" si="5"/>
        <v>0</v>
      </c>
      <c r="R9" s="410">
        <f t="shared" si="6"/>
        <v>0</v>
      </c>
      <c r="S9" s="410">
        <f t="shared" si="7"/>
        <v>0</v>
      </c>
      <c r="T9" s="410">
        <f t="shared" si="8"/>
        <v>0</v>
      </c>
      <c r="U9" s="407">
        <f t="shared" si="9"/>
        <v>0</v>
      </c>
      <c r="V9" s="407">
        <f>L9</f>
        <v>0</v>
      </c>
      <c r="W9" s="402">
        <f t="shared" si="10"/>
        <v>0</v>
      </c>
      <c r="X9" s="402">
        <f t="shared" si="11"/>
        <v>0</v>
      </c>
      <c r="Y9" s="401"/>
      <c r="Z9" s="401"/>
      <c r="AA9" s="411"/>
      <c r="AB9" s="420">
        <f t="shared" ref="AB9:AB36" si="18">IF((G9&gt;$AD$3)*AND(F9&lt;=$AD$3),G9-$AD$3,)+IF(F9&gt;$AD$3,G9-F9,)+IF((I9&gt;$AD$3)*AND(H9&lt;=$AD$3),I9-$AD$3,)+IF((H9&gt;$AD$3),I9-H9,)+IF((K9&gt;$AD$3)*AND(J9&lt;=$AD$3),K9-$AD$3,)+IF((J9&gt;$AD$3),K9-J9,)</f>
        <v>0</v>
      </c>
      <c r="AC9" s="420">
        <f t="shared" ref="AC9:AC36" si="19">IF((G9&gt;=$AD$1)*AND(F9&lt;$AD$1),($AD$1)-F9,)+IF((G9&lt;$AD$1),G9-F9,)+IF((I9&gt;=$AD$1)*AND(H9&lt;$AD$1),($AD$1)-H9,)+IF((I9&lt;$AD$1),I9-H9,)+IF((K9&gt;=$AD$1)*AND(J9&lt;$AD$1),($AD$1)-J9,)+IF((K9&lt;$AD$1),K9-J9,)</f>
        <v>0</v>
      </c>
      <c r="AD9" s="420">
        <f t="shared" ref="AD9:AD36" si="20">AB9+AC9</f>
        <v>0</v>
      </c>
      <c r="AE9" s="420">
        <f t="shared" ref="AE9:AE36" si="21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21">
        <f t="shared" ref="AF9:AF36" si="22">AB9-AE9</f>
        <v>0</v>
      </c>
      <c r="AG9" s="420">
        <f t="shared" ref="AG9:AG36" si="23">AI9+AE9</f>
        <v>0</v>
      </c>
      <c r="AH9" s="421">
        <f t="shared" ref="AH9:AH36" si="24">AD9</f>
        <v>0</v>
      </c>
      <c r="AI9" s="420">
        <f t="shared" ref="AI9:AI36" si="25">IF((G9&gt;=$AD$2)*AND(F9&lt;$AD$2),($AD$2)-F9,)+IF((G9&lt;$AD$2),G9-F9,)+IF((I9&gt;=$AD$2)*AND(H9&lt;$AD$2),($AD$2)-H9,)+IF((I9&lt;$AD$2),I9-H9,)+IF((K9&gt;=$AD$2)*AND(J9&lt;$AD$2),($AD$2)-J9,)+IF((K9&lt;$AD$2),K9-J9,)</f>
        <v>0</v>
      </c>
      <c r="AJ9" s="422">
        <f>IF((D9&lt;&gt;""),VLOOKUP(D9,Données!$E$36:$H$59,4,FALSE),)</f>
        <v>0</v>
      </c>
      <c r="AK9" s="422">
        <f>IF(V9&gt;0,L9,0)</f>
        <v>0</v>
      </c>
      <c r="AL9" s="423">
        <f>IF(L9&gt;0,D9,0)</f>
        <v>0</v>
      </c>
      <c r="AM9" s="424">
        <f>IF((E9="X")*OR(E9="x"),1,0)</f>
        <v>0</v>
      </c>
      <c r="AN9" s="425">
        <f t="shared" si="12"/>
        <v>0</v>
      </c>
      <c r="AO9" s="422">
        <f t="shared" si="13"/>
        <v>0</v>
      </c>
      <c r="AP9" s="426">
        <f>IF((F9&lt;=$AQ$2)*AND(G9&gt;=$AQ$3),1,)+IF((H9&lt;=$AQ$2)*AND(I9&gt;=$AQ$3),1,)+IF((J9&lt;=$AQ$2)*AND(K9&gt;=$AQ$3),1,)</f>
        <v>0</v>
      </c>
      <c r="AQ9" s="426">
        <f>IF((F9&lt;=$AR$2)*AND(G9&gt;=$AR$3),1,)+IF((H9&lt;=$AR$2)*AND(I9&gt;=$AR$3),1,)+IF((J9&lt;=$AR$2)*AND(K9&gt;=$AR$3),1,)</f>
        <v>0</v>
      </c>
      <c r="AR9" s="426">
        <f>IF((F9&lt;=$AS$2)*AND(G9&gt;=$AS$3),1,)+IF((H9&lt;=$AS$2)*AND(I9&gt;=$AS$3),1,)+IF((J9&lt;=$AS$2)*AND(K9&gt;=$AS$3),1,)</f>
        <v>0</v>
      </c>
      <c r="AS9" s="426">
        <f>IF((F9=$AT$2)*AND(G9&gt;=$AT$3),1,)+IF((H9=$AT$2)*AND(I9&gt;=$AT$3),1,)+IF((J9=$AT$2)*AND(K9&gt;=$AT$3),1,)</f>
        <v>0</v>
      </c>
      <c r="AT9" s="424">
        <f t="shared" si="14"/>
        <v>0</v>
      </c>
      <c r="AU9" s="424">
        <f t="shared" si="15"/>
        <v>0</v>
      </c>
      <c r="AV9" s="402">
        <f>IF(Données!$H$8="x",AW9,AX9)</f>
        <v>0.6333333333333333</v>
      </c>
      <c r="AW9" s="402">
        <f t="shared" si="2"/>
        <v>0.31666666666666665</v>
      </c>
      <c r="AX9" s="402">
        <f>AX8</f>
        <v>0.6333333333333333</v>
      </c>
      <c r="AY9" s="403" t="str">
        <f t="shared" si="17"/>
        <v>Sa</v>
      </c>
      <c r="AZ9" s="423">
        <f>IF((S39="HAU3")*AND(S40&lt;&gt;""),VLOOKUP(S40,Échelle!$W$5:$X$31,2),)</f>
        <v>0</v>
      </c>
      <c r="BA9" s="424" t="s">
        <v>2</v>
      </c>
      <c r="BB9" s="148"/>
    </row>
    <row r="10" spans="2:54" x14ac:dyDescent="0.2">
      <c r="B10" s="403" t="s">
        <v>186</v>
      </c>
      <c r="C10" s="412" t="s">
        <v>511</v>
      </c>
      <c r="D10" s="411"/>
      <c r="E10" s="411"/>
      <c r="F10" s="401"/>
      <c r="G10" s="401"/>
      <c r="H10" s="401"/>
      <c r="I10" s="401"/>
      <c r="J10" s="406"/>
      <c r="K10" s="406"/>
      <c r="L10" s="402">
        <f>(G10-F10)+(I10-H10)+(K10-J10)</f>
        <v>0</v>
      </c>
      <c r="M10" s="402">
        <f t="shared" ref="M10:M35" si="26">M9+L10</f>
        <v>0</v>
      </c>
      <c r="N10" s="407">
        <f>IF(Août!$H$48="x",AV10+Août!$N$37,AV10)</f>
        <v>0.6333333333333333</v>
      </c>
      <c r="O10" s="408" t="str">
        <f t="shared" si="3"/>
        <v>-</v>
      </c>
      <c r="P10" s="409">
        <f t="shared" si="4"/>
        <v>0.6333333333333333</v>
      </c>
      <c r="Q10" s="410">
        <f t="shared" si="5"/>
        <v>0</v>
      </c>
      <c r="R10" s="410">
        <f t="shared" si="6"/>
        <v>0</v>
      </c>
      <c r="S10" s="410">
        <f t="shared" si="7"/>
        <v>0</v>
      </c>
      <c r="T10" s="410">
        <f t="shared" si="8"/>
        <v>0</v>
      </c>
      <c r="U10" s="407">
        <f t="shared" si="9"/>
        <v>0</v>
      </c>
      <c r="V10" s="407">
        <f>L10</f>
        <v>0</v>
      </c>
      <c r="W10" s="402">
        <f t="shared" si="10"/>
        <v>0</v>
      </c>
      <c r="X10" s="402">
        <f t="shared" si="11"/>
        <v>0</v>
      </c>
      <c r="Y10" s="401"/>
      <c r="Z10" s="401"/>
      <c r="AA10" s="411"/>
      <c r="AB10" s="420">
        <f t="shared" si="18"/>
        <v>0</v>
      </c>
      <c r="AC10" s="420">
        <f t="shared" si="19"/>
        <v>0</v>
      </c>
      <c r="AD10" s="420">
        <f t="shared" si="20"/>
        <v>0</v>
      </c>
      <c r="AE10" s="420">
        <f t="shared" si="21"/>
        <v>0</v>
      </c>
      <c r="AF10" s="421">
        <f t="shared" si="22"/>
        <v>0</v>
      </c>
      <c r="AG10" s="420">
        <f t="shared" si="23"/>
        <v>0</v>
      </c>
      <c r="AH10" s="421">
        <f t="shared" si="24"/>
        <v>0</v>
      </c>
      <c r="AI10" s="420">
        <f t="shared" si="25"/>
        <v>0</v>
      </c>
      <c r="AJ10" s="422">
        <f>IF((D10&lt;&gt;""),VLOOKUP(D10,Données!$E$36:$H$59,4,FALSE),)</f>
        <v>0</v>
      </c>
      <c r="AK10" s="422">
        <f t="shared" ref="AK10:AK36" si="27">IF(V10&gt;0,L10,0)</f>
        <v>0</v>
      </c>
      <c r="AL10" s="423">
        <f t="shared" ref="AL10:AL36" si="28">IF(L10&gt;0,D10,0)</f>
        <v>0</v>
      </c>
      <c r="AM10" s="424">
        <f t="shared" ref="AM10:AM36" si="29">IF((E10="X")*OR(E10="x"),1,0)</f>
        <v>0</v>
      </c>
      <c r="AN10" s="425">
        <f t="shared" si="12"/>
        <v>0</v>
      </c>
      <c r="AO10" s="422">
        <f t="shared" si="13"/>
        <v>0</v>
      </c>
      <c r="AP10" s="426">
        <f t="shared" ref="AP10:AP36" si="30">IF((F10&lt;=$AQ$2)*AND(G10&gt;=$AQ$3),1,)+IF((H10&lt;=$AQ$2)*AND(I10&gt;=$AQ$3),1,)+IF((J10&lt;=$AQ$2)*AND(K10&gt;=$AQ$3),1,)</f>
        <v>0</v>
      </c>
      <c r="AQ10" s="426">
        <f t="shared" ref="AQ10:AQ36" si="31">IF((F10&lt;=$AR$2)*AND(G10&gt;=$AR$3),1,)+IF((H10&lt;=$AR$2)*AND(I10&gt;=$AR$3),1,)+IF((J10&lt;=$AR$2)*AND(K10&gt;=$AR$3),1,)</f>
        <v>0</v>
      </c>
      <c r="AR10" s="426">
        <f t="shared" ref="AR10:AR36" si="32">IF((F10&lt;=$AS$2)*AND(G10&gt;=$AS$3),1,)+IF((H10&lt;=$AS$2)*AND(I10&gt;=$AS$3),1,)+IF((J10&lt;=$AS$2)*AND(K10&gt;=$AS$3),1,)</f>
        <v>0</v>
      </c>
      <c r="AS10" s="426">
        <f t="shared" ref="AS10:AS36" si="33">IF((F10=$AT$2)*AND(G10&gt;=$AT$3),1,)+IF((H10=$AT$2)*AND(I10&gt;=$AT$3),1,)+IF((J10=$AT$2)*AND(K10&gt;=$AT$3),1,)</f>
        <v>0</v>
      </c>
      <c r="AT10" s="424">
        <f t="shared" si="14"/>
        <v>0</v>
      </c>
      <c r="AU10" s="424">
        <f t="shared" si="15"/>
        <v>0</v>
      </c>
      <c r="AV10" s="402">
        <f>IF(Données!$H$8="x",AW10,AX10)</f>
        <v>0.6333333333333333</v>
      </c>
      <c r="AW10" s="402">
        <f t="shared" si="2"/>
        <v>0.31666666666666665</v>
      </c>
      <c r="AX10" s="402">
        <f>AX9</f>
        <v>0.6333333333333333</v>
      </c>
      <c r="AY10" s="403" t="str">
        <f t="shared" si="17"/>
        <v>Di</v>
      </c>
      <c r="AZ10" s="423">
        <f>IF((S39="B1")*AND(S40&lt;&gt;""),VLOOKUP(S40,Échelle!$Z$5:$AA$31,2),)</f>
        <v>0</v>
      </c>
      <c r="BA10" s="424" t="s">
        <v>3</v>
      </c>
      <c r="BB10" s="148"/>
    </row>
    <row r="11" spans="2:54" x14ac:dyDescent="0.2">
      <c r="B11" s="467" t="s">
        <v>188</v>
      </c>
      <c r="C11" s="468" t="s">
        <v>512</v>
      </c>
      <c r="D11" s="469"/>
      <c r="E11" s="469"/>
      <c r="F11" s="470"/>
      <c r="G11" s="470"/>
      <c r="H11" s="470"/>
      <c r="I11" s="470"/>
      <c r="J11" s="487"/>
      <c r="K11" s="487"/>
      <c r="L11" s="471">
        <f t="shared" si="0"/>
        <v>0</v>
      </c>
      <c r="M11" s="471">
        <f t="shared" si="26"/>
        <v>0</v>
      </c>
      <c r="N11" s="488">
        <f>IF(Août!$H$48="x",AV11+Août!$N$37,AV11)</f>
        <v>0.95</v>
      </c>
      <c r="O11" s="483" t="str">
        <f t="shared" si="3"/>
        <v>-</v>
      </c>
      <c r="P11" s="489">
        <f t="shared" si="4"/>
        <v>0.95</v>
      </c>
      <c r="Q11" s="474">
        <f t="shared" si="5"/>
        <v>0</v>
      </c>
      <c r="R11" s="474">
        <f t="shared" si="6"/>
        <v>0</v>
      </c>
      <c r="S11" s="474">
        <f t="shared" si="7"/>
        <v>0</v>
      </c>
      <c r="T11" s="474">
        <f t="shared" si="8"/>
        <v>0</v>
      </c>
      <c r="U11" s="488">
        <f t="shared" si="9"/>
        <v>0</v>
      </c>
      <c r="V11" s="488">
        <f t="shared" ref="V11:V15" si="34">IF(D11="F",L11,0)</f>
        <v>0</v>
      </c>
      <c r="W11" s="471">
        <f t="shared" si="10"/>
        <v>0</v>
      </c>
      <c r="X11" s="471">
        <f t="shared" si="11"/>
        <v>0</v>
      </c>
      <c r="Y11" s="470"/>
      <c r="Z11" s="470"/>
      <c r="AA11" s="469"/>
      <c r="AB11" s="475">
        <f t="shared" si="18"/>
        <v>0</v>
      </c>
      <c r="AC11" s="475">
        <f t="shared" si="19"/>
        <v>0</v>
      </c>
      <c r="AD11" s="475">
        <f t="shared" si="20"/>
        <v>0</v>
      </c>
      <c r="AE11" s="475">
        <f t="shared" si="21"/>
        <v>0</v>
      </c>
      <c r="AF11" s="476">
        <f t="shared" si="22"/>
        <v>0</v>
      </c>
      <c r="AG11" s="475">
        <f t="shared" si="23"/>
        <v>0</v>
      </c>
      <c r="AH11" s="476">
        <f t="shared" si="24"/>
        <v>0</v>
      </c>
      <c r="AI11" s="475">
        <f t="shared" si="25"/>
        <v>0</v>
      </c>
      <c r="AJ11" s="477">
        <f>IF((D11&lt;&gt;""),VLOOKUP(D11,Données!$E$36:$H$59,4,FALSE),)</f>
        <v>0</v>
      </c>
      <c r="AK11" s="477">
        <f t="shared" si="27"/>
        <v>0</v>
      </c>
      <c r="AL11" s="478">
        <f t="shared" si="28"/>
        <v>0</v>
      </c>
      <c r="AM11" s="479">
        <f t="shared" si="29"/>
        <v>0</v>
      </c>
      <c r="AN11" s="480">
        <f t="shared" si="12"/>
        <v>0</v>
      </c>
      <c r="AO11" s="477">
        <f t="shared" si="13"/>
        <v>0</v>
      </c>
      <c r="AP11" s="481">
        <f t="shared" si="30"/>
        <v>0</v>
      </c>
      <c r="AQ11" s="481">
        <f t="shared" si="31"/>
        <v>0</v>
      </c>
      <c r="AR11" s="481">
        <f t="shared" si="32"/>
        <v>0</v>
      </c>
      <c r="AS11" s="481">
        <f t="shared" si="33"/>
        <v>0</v>
      </c>
      <c r="AT11" s="479">
        <f t="shared" si="14"/>
        <v>0</v>
      </c>
      <c r="AU11" s="479">
        <f t="shared" si="15"/>
        <v>0</v>
      </c>
      <c r="AV11" s="471">
        <f>IF(Données!$H$8="x",AW11,AX11)</f>
        <v>0.95</v>
      </c>
      <c r="AW11" s="471">
        <f t="shared" si="2"/>
        <v>0.47499999999999998</v>
      </c>
      <c r="AX11" s="471">
        <f t="shared" ref="AX11:AX15" si="35">IF(D11="L",AX10,(AX10+"07:36"))</f>
        <v>0.95</v>
      </c>
      <c r="AY11" s="467" t="str">
        <f t="shared" si="17"/>
        <v>Lu</v>
      </c>
      <c r="AZ11" s="7">
        <f>IF((S39="B2")*AND(S40&lt;&gt;""),VLOOKUP(S40,Échelle!$AC$5:$AD$31,2),)</f>
        <v>0</v>
      </c>
      <c r="BA11" s="4" t="s">
        <v>4</v>
      </c>
      <c r="BB11" s="148"/>
    </row>
    <row r="12" spans="2:54" x14ac:dyDescent="0.2">
      <c r="B12" s="467" t="s">
        <v>176</v>
      </c>
      <c r="C12" s="468" t="s">
        <v>513</v>
      </c>
      <c r="D12" s="469"/>
      <c r="E12" s="469"/>
      <c r="F12" s="470"/>
      <c r="G12" s="470"/>
      <c r="H12" s="470"/>
      <c r="I12" s="470"/>
      <c r="J12" s="487"/>
      <c r="K12" s="487"/>
      <c r="L12" s="471">
        <f t="shared" si="0"/>
        <v>0</v>
      </c>
      <c r="M12" s="471">
        <f t="shared" si="26"/>
        <v>0</v>
      </c>
      <c r="N12" s="488">
        <f>IF(Août!$H$48="x",AV12+Août!$N$37,AV12)</f>
        <v>1.2666666666666666</v>
      </c>
      <c r="O12" s="483" t="str">
        <f t="shared" si="3"/>
        <v>-</v>
      </c>
      <c r="P12" s="489">
        <f t="shared" si="4"/>
        <v>1.2666666666666666</v>
      </c>
      <c r="Q12" s="474">
        <f t="shared" si="5"/>
        <v>0</v>
      </c>
      <c r="R12" s="474">
        <f t="shared" si="6"/>
        <v>0</v>
      </c>
      <c r="S12" s="474">
        <f t="shared" si="7"/>
        <v>0</v>
      </c>
      <c r="T12" s="474">
        <f t="shared" si="8"/>
        <v>0</v>
      </c>
      <c r="U12" s="488">
        <f t="shared" si="9"/>
        <v>0</v>
      </c>
      <c r="V12" s="488">
        <f t="shared" si="34"/>
        <v>0</v>
      </c>
      <c r="W12" s="471">
        <f t="shared" si="10"/>
        <v>0</v>
      </c>
      <c r="X12" s="471">
        <f t="shared" si="11"/>
        <v>0</v>
      </c>
      <c r="Y12" s="470"/>
      <c r="Z12" s="470"/>
      <c r="AA12" s="469"/>
      <c r="AB12" s="475">
        <f t="shared" si="18"/>
        <v>0</v>
      </c>
      <c r="AC12" s="475">
        <f t="shared" si="19"/>
        <v>0</v>
      </c>
      <c r="AD12" s="475">
        <f t="shared" si="20"/>
        <v>0</v>
      </c>
      <c r="AE12" s="475">
        <f t="shared" si="21"/>
        <v>0</v>
      </c>
      <c r="AF12" s="476">
        <f t="shared" si="22"/>
        <v>0</v>
      </c>
      <c r="AG12" s="475">
        <f t="shared" si="23"/>
        <v>0</v>
      </c>
      <c r="AH12" s="476">
        <f t="shared" si="24"/>
        <v>0</v>
      </c>
      <c r="AI12" s="475">
        <f t="shared" si="25"/>
        <v>0</v>
      </c>
      <c r="AJ12" s="477">
        <f>IF((D12&lt;&gt;""),VLOOKUP(D12,Données!$E$36:$H$59,4,FALSE),)</f>
        <v>0</v>
      </c>
      <c r="AK12" s="477">
        <f t="shared" si="27"/>
        <v>0</v>
      </c>
      <c r="AL12" s="478">
        <f t="shared" si="28"/>
        <v>0</v>
      </c>
      <c r="AM12" s="479">
        <f t="shared" si="29"/>
        <v>0</v>
      </c>
      <c r="AN12" s="480">
        <f t="shared" si="12"/>
        <v>0</v>
      </c>
      <c r="AO12" s="477">
        <f t="shared" si="13"/>
        <v>0</v>
      </c>
      <c r="AP12" s="481">
        <f t="shared" si="30"/>
        <v>0</v>
      </c>
      <c r="AQ12" s="481">
        <f t="shared" si="31"/>
        <v>0</v>
      </c>
      <c r="AR12" s="481">
        <f t="shared" si="32"/>
        <v>0</v>
      </c>
      <c r="AS12" s="481">
        <f t="shared" si="33"/>
        <v>0</v>
      </c>
      <c r="AT12" s="479">
        <f t="shared" si="14"/>
        <v>0</v>
      </c>
      <c r="AU12" s="479">
        <f t="shared" si="15"/>
        <v>0</v>
      </c>
      <c r="AV12" s="471">
        <f>IF(Données!$H$8="x",AW12,AX12)</f>
        <v>1.2666666666666666</v>
      </c>
      <c r="AW12" s="471">
        <f t="shared" si="2"/>
        <v>0.6333333333333333</v>
      </c>
      <c r="AX12" s="471">
        <f t="shared" si="35"/>
        <v>1.2666666666666666</v>
      </c>
      <c r="AY12" s="467" t="str">
        <f t="shared" si="17"/>
        <v>Ma</v>
      </c>
      <c r="AZ12" s="7">
        <f>IF((S39="B3")*AND(S40&lt;&gt;""),VLOOKUP(S40,Échelle!$AF$5:$AG$31,2),)</f>
        <v>0</v>
      </c>
      <c r="BA12" s="4" t="s">
        <v>5</v>
      </c>
      <c r="BB12" s="148"/>
    </row>
    <row r="13" spans="2:54" x14ac:dyDescent="0.2">
      <c r="B13" s="467" t="s">
        <v>178</v>
      </c>
      <c r="C13" s="468" t="s">
        <v>514</v>
      </c>
      <c r="D13" s="469"/>
      <c r="E13" s="469"/>
      <c r="F13" s="470"/>
      <c r="G13" s="470"/>
      <c r="H13" s="470"/>
      <c r="I13" s="470"/>
      <c r="J13" s="487"/>
      <c r="K13" s="487"/>
      <c r="L13" s="471">
        <f t="shared" si="0"/>
        <v>0</v>
      </c>
      <c r="M13" s="471">
        <f t="shared" si="26"/>
        <v>0</v>
      </c>
      <c r="N13" s="488">
        <f>IF(Août!$H$48="x",AV13+Août!$N$37,AV13)</f>
        <v>1.5833333333333333</v>
      </c>
      <c r="O13" s="483" t="str">
        <f t="shared" si="3"/>
        <v>-</v>
      </c>
      <c r="P13" s="489">
        <f t="shared" si="4"/>
        <v>1.5833333333333333</v>
      </c>
      <c r="Q13" s="474">
        <f t="shared" si="5"/>
        <v>0</v>
      </c>
      <c r="R13" s="474">
        <f t="shared" si="6"/>
        <v>0</v>
      </c>
      <c r="S13" s="474">
        <f t="shared" si="7"/>
        <v>0</v>
      </c>
      <c r="T13" s="474">
        <f t="shared" si="8"/>
        <v>0</v>
      </c>
      <c r="U13" s="488">
        <f t="shared" si="9"/>
        <v>0</v>
      </c>
      <c r="V13" s="488">
        <f t="shared" si="34"/>
        <v>0</v>
      </c>
      <c r="W13" s="471">
        <f t="shared" si="10"/>
        <v>0</v>
      </c>
      <c r="X13" s="471">
        <f t="shared" si="11"/>
        <v>0</v>
      </c>
      <c r="Y13" s="470"/>
      <c r="Z13" s="470"/>
      <c r="AA13" s="469"/>
      <c r="AB13" s="475">
        <f t="shared" si="18"/>
        <v>0</v>
      </c>
      <c r="AC13" s="475">
        <f t="shared" si="19"/>
        <v>0</v>
      </c>
      <c r="AD13" s="475">
        <f t="shared" si="20"/>
        <v>0</v>
      </c>
      <c r="AE13" s="475">
        <f t="shared" si="21"/>
        <v>0</v>
      </c>
      <c r="AF13" s="476">
        <f t="shared" si="22"/>
        <v>0</v>
      </c>
      <c r="AG13" s="475">
        <f t="shared" si="23"/>
        <v>0</v>
      </c>
      <c r="AH13" s="476">
        <f t="shared" si="24"/>
        <v>0</v>
      </c>
      <c r="AI13" s="475">
        <f t="shared" si="25"/>
        <v>0</v>
      </c>
      <c r="AJ13" s="477">
        <f>IF((D13&lt;&gt;""),VLOOKUP(D13,Données!$E$36:$H$59,4,FALSE),)</f>
        <v>0</v>
      </c>
      <c r="AK13" s="477">
        <f t="shared" si="27"/>
        <v>0</v>
      </c>
      <c r="AL13" s="478">
        <f t="shared" si="28"/>
        <v>0</v>
      </c>
      <c r="AM13" s="479">
        <f t="shared" si="29"/>
        <v>0</v>
      </c>
      <c r="AN13" s="480">
        <f t="shared" si="12"/>
        <v>0</v>
      </c>
      <c r="AO13" s="477">
        <f t="shared" si="13"/>
        <v>0</v>
      </c>
      <c r="AP13" s="481">
        <f t="shared" si="30"/>
        <v>0</v>
      </c>
      <c r="AQ13" s="481">
        <f t="shared" si="31"/>
        <v>0</v>
      </c>
      <c r="AR13" s="481">
        <f t="shared" si="32"/>
        <v>0</v>
      </c>
      <c r="AS13" s="481">
        <f t="shared" si="33"/>
        <v>0</v>
      </c>
      <c r="AT13" s="479">
        <f t="shared" si="14"/>
        <v>0</v>
      </c>
      <c r="AU13" s="479">
        <f t="shared" si="15"/>
        <v>0</v>
      </c>
      <c r="AV13" s="471">
        <f>IF(Données!$H$8="x",AW13,AX13)</f>
        <v>1.5833333333333333</v>
      </c>
      <c r="AW13" s="471">
        <f t="shared" si="2"/>
        <v>0.79166666666666663</v>
      </c>
      <c r="AX13" s="471">
        <f t="shared" si="35"/>
        <v>1.5833333333333333</v>
      </c>
      <c r="AY13" s="467" t="str">
        <f t="shared" si="17"/>
        <v>Me</v>
      </c>
      <c r="AZ13" s="7">
        <f>IF((S39="B4")*AND(S40&lt;&gt;""),VLOOKUP(S40,Échelle!AI$5:AJ$34,2),)</f>
        <v>0</v>
      </c>
      <c r="BA13" s="4" t="s">
        <v>6</v>
      </c>
      <c r="BB13" s="148"/>
    </row>
    <row r="14" spans="2:54" x14ac:dyDescent="0.2">
      <c r="B14" s="467" t="s">
        <v>180</v>
      </c>
      <c r="C14" s="468" t="s">
        <v>515</v>
      </c>
      <c r="D14" s="469"/>
      <c r="E14" s="469"/>
      <c r="F14" s="470"/>
      <c r="G14" s="470"/>
      <c r="H14" s="470"/>
      <c r="I14" s="470"/>
      <c r="J14" s="487"/>
      <c r="K14" s="487"/>
      <c r="L14" s="471">
        <f t="shared" si="0"/>
        <v>0</v>
      </c>
      <c r="M14" s="471">
        <f t="shared" si="26"/>
        <v>0</v>
      </c>
      <c r="N14" s="488">
        <f>IF(Août!$H$48="x",AV14+Août!$N$37,AV14)</f>
        <v>1.9</v>
      </c>
      <c r="O14" s="483" t="str">
        <f t="shared" si="3"/>
        <v>-</v>
      </c>
      <c r="P14" s="489">
        <f t="shared" si="4"/>
        <v>1.9</v>
      </c>
      <c r="Q14" s="474">
        <f t="shared" si="5"/>
        <v>0</v>
      </c>
      <c r="R14" s="474">
        <f t="shared" si="6"/>
        <v>0</v>
      </c>
      <c r="S14" s="474">
        <f t="shared" si="7"/>
        <v>0</v>
      </c>
      <c r="T14" s="474">
        <f t="shared" si="8"/>
        <v>0</v>
      </c>
      <c r="U14" s="488">
        <f t="shared" si="9"/>
        <v>0</v>
      </c>
      <c r="V14" s="488">
        <f t="shared" si="34"/>
        <v>0</v>
      </c>
      <c r="W14" s="471">
        <f t="shared" si="10"/>
        <v>0</v>
      </c>
      <c r="X14" s="471">
        <f t="shared" si="11"/>
        <v>0</v>
      </c>
      <c r="Y14" s="470"/>
      <c r="Z14" s="470"/>
      <c r="AA14" s="469"/>
      <c r="AB14" s="475">
        <f t="shared" si="18"/>
        <v>0</v>
      </c>
      <c r="AC14" s="475">
        <f t="shared" si="19"/>
        <v>0</v>
      </c>
      <c r="AD14" s="475">
        <f t="shared" si="20"/>
        <v>0</v>
      </c>
      <c r="AE14" s="475">
        <f t="shared" si="21"/>
        <v>0</v>
      </c>
      <c r="AF14" s="476">
        <f t="shared" si="22"/>
        <v>0</v>
      </c>
      <c r="AG14" s="475">
        <f t="shared" si="23"/>
        <v>0</v>
      </c>
      <c r="AH14" s="476">
        <f t="shared" si="24"/>
        <v>0</v>
      </c>
      <c r="AI14" s="475">
        <f t="shared" si="25"/>
        <v>0</v>
      </c>
      <c r="AJ14" s="477">
        <f>IF((D14&lt;&gt;""),VLOOKUP(D14,Données!$E$36:$H$59,4,FALSE),)</f>
        <v>0</v>
      </c>
      <c r="AK14" s="477">
        <f t="shared" si="27"/>
        <v>0</v>
      </c>
      <c r="AL14" s="478">
        <f t="shared" si="28"/>
        <v>0</v>
      </c>
      <c r="AM14" s="479">
        <f t="shared" si="29"/>
        <v>0</v>
      </c>
      <c r="AN14" s="480">
        <f t="shared" si="12"/>
        <v>0</v>
      </c>
      <c r="AO14" s="477">
        <f t="shared" si="13"/>
        <v>0</v>
      </c>
      <c r="AP14" s="481">
        <f t="shared" si="30"/>
        <v>0</v>
      </c>
      <c r="AQ14" s="481">
        <f t="shared" si="31"/>
        <v>0</v>
      </c>
      <c r="AR14" s="481">
        <f t="shared" si="32"/>
        <v>0</v>
      </c>
      <c r="AS14" s="481">
        <f t="shared" si="33"/>
        <v>0</v>
      </c>
      <c r="AT14" s="479">
        <f t="shared" si="14"/>
        <v>0</v>
      </c>
      <c r="AU14" s="479">
        <f t="shared" si="15"/>
        <v>0</v>
      </c>
      <c r="AV14" s="471">
        <f>IF(Données!$H$8="x",AW14,AX14)</f>
        <v>1.9</v>
      </c>
      <c r="AW14" s="471">
        <f t="shared" si="2"/>
        <v>0.95</v>
      </c>
      <c r="AX14" s="471">
        <f t="shared" si="35"/>
        <v>1.9</v>
      </c>
      <c r="AY14" s="467" t="str">
        <f t="shared" si="17"/>
        <v>Je</v>
      </c>
      <c r="AZ14" s="7">
        <f>IF((S39="B5")*AND(S40&lt;&gt;""),VLOOKUP(S40,Échelle!AL$5:AM$34,2),)</f>
        <v>0</v>
      </c>
      <c r="BA14" s="4" t="s">
        <v>7</v>
      </c>
      <c r="BB14" s="148"/>
    </row>
    <row r="15" spans="2:54" x14ac:dyDescent="0.2">
      <c r="B15" s="467" t="s">
        <v>182</v>
      </c>
      <c r="C15" s="468" t="s">
        <v>516</v>
      </c>
      <c r="D15" s="469"/>
      <c r="E15" s="469"/>
      <c r="F15" s="470"/>
      <c r="G15" s="470"/>
      <c r="H15" s="470"/>
      <c r="I15" s="470"/>
      <c r="J15" s="487"/>
      <c r="K15" s="487"/>
      <c r="L15" s="471">
        <f t="shared" si="0"/>
        <v>0</v>
      </c>
      <c r="M15" s="471">
        <f>M14+L15</f>
        <v>0</v>
      </c>
      <c r="N15" s="488">
        <f>IF(Août!$H$48="x",AV15+Août!$N$37,AV15)</f>
        <v>2.2166666666666668</v>
      </c>
      <c r="O15" s="483" t="str">
        <f t="shared" si="3"/>
        <v>-</v>
      </c>
      <c r="P15" s="489">
        <f t="shared" si="4"/>
        <v>2.2166666666666668</v>
      </c>
      <c r="Q15" s="474">
        <f t="shared" si="5"/>
        <v>0</v>
      </c>
      <c r="R15" s="474">
        <f t="shared" si="6"/>
        <v>0</v>
      </c>
      <c r="S15" s="474">
        <f t="shared" si="7"/>
        <v>0</v>
      </c>
      <c r="T15" s="474">
        <f t="shared" si="8"/>
        <v>0</v>
      </c>
      <c r="U15" s="488">
        <f t="shared" si="9"/>
        <v>0</v>
      </c>
      <c r="V15" s="488">
        <f t="shared" si="34"/>
        <v>0</v>
      </c>
      <c r="W15" s="471">
        <f t="shared" si="10"/>
        <v>0</v>
      </c>
      <c r="X15" s="471">
        <f t="shared" si="11"/>
        <v>0</v>
      </c>
      <c r="Y15" s="470"/>
      <c r="Z15" s="470"/>
      <c r="AA15" s="469"/>
      <c r="AB15" s="475">
        <f t="shared" si="18"/>
        <v>0</v>
      </c>
      <c r="AC15" s="475">
        <f t="shared" si="19"/>
        <v>0</v>
      </c>
      <c r="AD15" s="475">
        <f t="shared" si="20"/>
        <v>0</v>
      </c>
      <c r="AE15" s="475">
        <f t="shared" si="21"/>
        <v>0</v>
      </c>
      <c r="AF15" s="476">
        <f t="shared" si="22"/>
        <v>0</v>
      </c>
      <c r="AG15" s="475">
        <f t="shared" si="23"/>
        <v>0</v>
      </c>
      <c r="AH15" s="476">
        <f t="shared" si="24"/>
        <v>0</v>
      </c>
      <c r="AI15" s="475">
        <f t="shared" si="25"/>
        <v>0</v>
      </c>
      <c r="AJ15" s="477">
        <f>IF((D15&lt;&gt;""),VLOOKUP(D15,Données!$E$36:$H$59,4,FALSE),)</f>
        <v>0</v>
      </c>
      <c r="AK15" s="477">
        <f t="shared" si="27"/>
        <v>0</v>
      </c>
      <c r="AL15" s="478">
        <f t="shared" si="28"/>
        <v>0</v>
      </c>
      <c r="AM15" s="479">
        <f t="shared" si="29"/>
        <v>0</v>
      </c>
      <c r="AN15" s="480">
        <f t="shared" si="12"/>
        <v>0</v>
      </c>
      <c r="AO15" s="477">
        <f t="shared" si="13"/>
        <v>0</v>
      </c>
      <c r="AP15" s="481">
        <f t="shared" si="30"/>
        <v>0</v>
      </c>
      <c r="AQ15" s="481">
        <f t="shared" si="31"/>
        <v>0</v>
      </c>
      <c r="AR15" s="481">
        <f t="shared" si="32"/>
        <v>0</v>
      </c>
      <c r="AS15" s="481">
        <f t="shared" si="33"/>
        <v>0</v>
      </c>
      <c r="AT15" s="479">
        <f t="shared" si="14"/>
        <v>0</v>
      </c>
      <c r="AU15" s="479">
        <f t="shared" si="15"/>
        <v>0</v>
      </c>
      <c r="AV15" s="471">
        <f>IF(Données!$H$8="x",AW15,AX15)</f>
        <v>2.2166666666666668</v>
      </c>
      <c r="AW15" s="471">
        <f t="shared" si="2"/>
        <v>1.1083333333333334</v>
      </c>
      <c r="AX15" s="471">
        <f t="shared" si="35"/>
        <v>2.2166666666666668</v>
      </c>
      <c r="AY15" s="467" t="str">
        <f t="shared" si="17"/>
        <v>Ve</v>
      </c>
      <c r="AZ15" s="7">
        <f>IF((S39="M1.1")*AND(S40&lt;&gt;""),VLOOKUP(S40,Échelle!$AO$5:$AP$31,2),)</f>
        <v>0</v>
      </c>
      <c r="BA15" s="4" t="s">
        <v>8</v>
      </c>
      <c r="BB15" s="148"/>
    </row>
    <row r="16" spans="2:54" x14ac:dyDescent="0.2">
      <c r="B16" s="403" t="s">
        <v>184</v>
      </c>
      <c r="C16" s="412" t="s">
        <v>517</v>
      </c>
      <c r="D16" s="411"/>
      <c r="E16" s="411"/>
      <c r="F16" s="401"/>
      <c r="G16" s="401"/>
      <c r="H16" s="401"/>
      <c r="I16" s="401"/>
      <c r="J16" s="406"/>
      <c r="K16" s="406"/>
      <c r="L16" s="402">
        <f>(G16-F16)+(I16-H16)+(K16-J16)</f>
        <v>0</v>
      </c>
      <c r="M16" s="402">
        <f>M15+L16</f>
        <v>0</v>
      </c>
      <c r="N16" s="407">
        <f>IF(Août!$H$48="x",AV16+Août!$N$37,AV16)</f>
        <v>2.2166666666666668</v>
      </c>
      <c r="O16" s="408" t="str">
        <f t="shared" si="3"/>
        <v>-</v>
      </c>
      <c r="P16" s="409">
        <f t="shared" si="4"/>
        <v>2.2166666666666668</v>
      </c>
      <c r="Q16" s="410">
        <f t="shared" si="5"/>
        <v>0</v>
      </c>
      <c r="R16" s="410">
        <f t="shared" si="6"/>
        <v>0</v>
      </c>
      <c r="S16" s="410">
        <f t="shared" si="7"/>
        <v>0</v>
      </c>
      <c r="T16" s="410">
        <f t="shared" si="8"/>
        <v>0</v>
      </c>
      <c r="U16" s="407">
        <f t="shared" si="9"/>
        <v>0</v>
      </c>
      <c r="V16" s="407">
        <f>L16</f>
        <v>0</v>
      </c>
      <c r="W16" s="402">
        <f t="shared" si="10"/>
        <v>0</v>
      </c>
      <c r="X16" s="402">
        <f t="shared" si="11"/>
        <v>0</v>
      </c>
      <c r="Y16" s="401"/>
      <c r="Z16" s="401"/>
      <c r="AA16" s="411"/>
      <c r="AB16" s="420">
        <f t="shared" si="18"/>
        <v>0</v>
      </c>
      <c r="AC16" s="420">
        <f t="shared" si="19"/>
        <v>0</v>
      </c>
      <c r="AD16" s="420">
        <f t="shared" si="20"/>
        <v>0</v>
      </c>
      <c r="AE16" s="420">
        <f t="shared" si="21"/>
        <v>0</v>
      </c>
      <c r="AF16" s="421">
        <f t="shared" si="22"/>
        <v>0</v>
      </c>
      <c r="AG16" s="420">
        <f t="shared" si="23"/>
        <v>0</v>
      </c>
      <c r="AH16" s="421">
        <f t="shared" si="24"/>
        <v>0</v>
      </c>
      <c r="AI16" s="420">
        <f t="shared" si="25"/>
        <v>0</v>
      </c>
      <c r="AJ16" s="422">
        <f>IF((D16&lt;&gt;""),VLOOKUP(D16,Données!$E$36:$H$59,4,FALSE),)</f>
        <v>0</v>
      </c>
      <c r="AK16" s="422">
        <f t="shared" si="27"/>
        <v>0</v>
      </c>
      <c r="AL16" s="423">
        <f t="shared" si="28"/>
        <v>0</v>
      </c>
      <c r="AM16" s="424">
        <f t="shared" si="29"/>
        <v>0</v>
      </c>
      <c r="AN16" s="425">
        <f t="shared" si="12"/>
        <v>0</v>
      </c>
      <c r="AO16" s="422">
        <f t="shared" si="13"/>
        <v>0</v>
      </c>
      <c r="AP16" s="426">
        <f t="shared" si="30"/>
        <v>0</v>
      </c>
      <c r="AQ16" s="426">
        <f t="shared" si="31"/>
        <v>0</v>
      </c>
      <c r="AR16" s="426">
        <f t="shared" si="32"/>
        <v>0</v>
      </c>
      <c r="AS16" s="426">
        <f t="shared" si="33"/>
        <v>0</v>
      </c>
      <c r="AT16" s="424">
        <f t="shared" si="14"/>
        <v>0</v>
      </c>
      <c r="AU16" s="424">
        <f t="shared" si="15"/>
        <v>0</v>
      </c>
      <c r="AV16" s="402">
        <f>IF(Données!$H$8="x",AW16,AX16)</f>
        <v>2.2166666666666668</v>
      </c>
      <c r="AW16" s="402">
        <f t="shared" si="2"/>
        <v>1.1083333333333334</v>
      </c>
      <c r="AX16" s="402">
        <f>AX15</f>
        <v>2.2166666666666668</v>
      </c>
      <c r="AY16" s="403" t="str">
        <f t="shared" si="17"/>
        <v>Sa</v>
      </c>
      <c r="AZ16" s="423">
        <f>IF((S39="M1.2")*AND(S40&lt;&gt;""),VLOOKUP(S40,Échelle!$AR$5:$AS$31,2),)</f>
        <v>0</v>
      </c>
      <c r="BA16" s="424" t="s">
        <v>9</v>
      </c>
      <c r="BB16" s="148"/>
    </row>
    <row r="17" spans="2:54" x14ac:dyDescent="0.2">
      <c r="B17" s="403" t="s">
        <v>186</v>
      </c>
      <c r="C17" s="412" t="s">
        <v>518</v>
      </c>
      <c r="D17" s="411"/>
      <c r="E17" s="411"/>
      <c r="F17" s="401"/>
      <c r="G17" s="401"/>
      <c r="H17" s="401"/>
      <c r="I17" s="401"/>
      <c r="J17" s="406"/>
      <c r="K17" s="406"/>
      <c r="L17" s="402">
        <f>(G17-F17)+(I17-H17)+(K17-J17)</f>
        <v>0</v>
      </c>
      <c r="M17" s="402">
        <f t="shared" si="26"/>
        <v>0</v>
      </c>
      <c r="N17" s="407">
        <f>IF(Août!$H$48="x",AV17+Août!$N$37,AV17)</f>
        <v>2.2166666666666668</v>
      </c>
      <c r="O17" s="408" t="str">
        <f t="shared" si="3"/>
        <v>-</v>
      </c>
      <c r="P17" s="409">
        <f t="shared" si="4"/>
        <v>2.2166666666666668</v>
      </c>
      <c r="Q17" s="410">
        <f t="shared" si="5"/>
        <v>0</v>
      </c>
      <c r="R17" s="410">
        <f t="shared" si="6"/>
        <v>0</v>
      </c>
      <c r="S17" s="410">
        <f t="shared" si="7"/>
        <v>0</v>
      </c>
      <c r="T17" s="410">
        <f t="shared" si="8"/>
        <v>0</v>
      </c>
      <c r="U17" s="407">
        <f t="shared" si="9"/>
        <v>0</v>
      </c>
      <c r="V17" s="407">
        <f>L17</f>
        <v>0</v>
      </c>
      <c r="W17" s="402">
        <f t="shared" si="10"/>
        <v>0</v>
      </c>
      <c r="X17" s="402">
        <f t="shared" si="11"/>
        <v>0</v>
      </c>
      <c r="Y17" s="401"/>
      <c r="Z17" s="401"/>
      <c r="AA17" s="411"/>
      <c r="AB17" s="420">
        <f t="shared" si="18"/>
        <v>0</v>
      </c>
      <c r="AC17" s="420">
        <f t="shared" si="19"/>
        <v>0</v>
      </c>
      <c r="AD17" s="420">
        <f t="shared" si="20"/>
        <v>0</v>
      </c>
      <c r="AE17" s="420">
        <f t="shared" si="21"/>
        <v>0</v>
      </c>
      <c r="AF17" s="421">
        <f t="shared" si="22"/>
        <v>0</v>
      </c>
      <c r="AG17" s="420">
        <f t="shared" si="23"/>
        <v>0</v>
      </c>
      <c r="AH17" s="421">
        <f t="shared" si="24"/>
        <v>0</v>
      </c>
      <c r="AI17" s="420">
        <f t="shared" si="25"/>
        <v>0</v>
      </c>
      <c r="AJ17" s="422">
        <f>IF((D17&lt;&gt;""),VLOOKUP(D17,Données!$E$36:$H$59,4,FALSE),)</f>
        <v>0</v>
      </c>
      <c r="AK17" s="422">
        <f t="shared" si="27"/>
        <v>0</v>
      </c>
      <c r="AL17" s="423">
        <f t="shared" si="28"/>
        <v>0</v>
      </c>
      <c r="AM17" s="424">
        <f t="shared" si="29"/>
        <v>0</v>
      </c>
      <c r="AN17" s="425">
        <f t="shared" si="12"/>
        <v>0</v>
      </c>
      <c r="AO17" s="422">
        <f t="shared" si="13"/>
        <v>0</v>
      </c>
      <c r="AP17" s="426">
        <f t="shared" si="30"/>
        <v>0</v>
      </c>
      <c r="AQ17" s="426">
        <f t="shared" si="31"/>
        <v>0</v>
      </c>
      <c r="AR17" s="426">
        <f t="shared" si="32"/>
        <v>0</v>
      </c>
      <c r="AS17" s="426">
        <f t="shared" si="33"/>
        <v>0</v>
      </c>
      <c r="AT17" s="424">
        <f t="shared" si="14"/>
        <v>0</v>
      </c>
      <c r="AU17" s="424">
        <f t="shared" si="15"/>
        <v>0</v>
      </c>
      <c r="AV17" s="402">
        <f>IF(Données!$H$8="x",AW17,AX17)</f>
        <v>2.2166666666666668</v>
      </c>
      <c r="AW17" s="402">
        <f t="shared" si="2"/>
        <v>1.1083333333333334</v>
      </c>
      <c r="AX17" s="402">
        <f>AX16</f>
        <v>2.2166666666666668</v>
      </c>
      <c r="AY17" s="403" t="str">
        <f t="shared" si="17"/>
        <v>Di</v>
      </c>
      <c r="AZ17" s="423">
        <f>IF((S39="M2.1")*AND(S40&lt;&gt;""),VLOOKUP(S40,Échelle!$AU$5:$AV$31,2),)</f>
        <v>0</v>
      </c>
      <c r="BA17" s="424" t="s">
        <v>10</v>
      </c>
      <c r="BB17" s="148"/>
    </row>
    <row r="18" spans="2:54" x14ac:dyDescent="0.2">
      <c r="B18" s="467" t="s">
        <v>188</v>
      </c>
      <c r="C18" s="468" t="s">
        <v>519</v>
      </c>
      <c r="D18" s="469"/>
      <c r="E18" s="469"/>
      <c r="F18" s="470"/>
      <c r="G18" s="470"/>
      <c r="H18" s="470"/>
      <c r="I18" s="470"/>
      <c r="J18" s="487"/>
      <c r="K18" s="487"/>
      <c r="L18" s="471">
        <f t="shared" si="0"/>
        <v>0</v>
      </c>
      <c r="M18" s="471">
        <f t="shared" si="26"/>
        <v>0</v>
      </c>
      <c r="N18" s="488">
        <f>IF(Août!$H$48="x",AV18+Août!$N$37,AV18)</f>
        <v>2.5333333333333332</v>
      </c>
      <c r="O18" s="483" t="str">
        <f t="shared" si="3"/>
        <v>-</v>
      </c>
      <c r="P18" s="489">
        <f t="shared" si="4"/>
        <v>2.5333333333333332</v>
      </c>
      <c r="Q18" s="474">
        <f t="shared" si="5"/>
        <v>0</v>
      </c>
      <c r="R18" s="474">
        <f t="shared" si="6"/>
        <v>0</v>
      </c>
      <c r="S18" s="474">
        <f t="shared" si="7"/>
        <v>0</v>
      </c>
      <c r="T18" s="474">
        <f t="shared" si="8"/>
        <v>0</v>
      </c>
      <c r="U18" s="488">
        <f t="shared" si="9"/>
        <v>0</v>
      </c>
      <c r="V18" s="488">
        <f t="shared" ref="V18:V22" si="36">IF(D18="F",L18,0)</f>
        <v>0</v>
      </c>
      <c r="W18" s="471">
        <f t="shared" si="10"/>
        <v>0</v>
      </c>
      <c r="X18" s="471">
        <f t="shared" si="11"/>
        <v>0</v>
      </c>
      <c r="Y18" s="470"/>
      <c r="Z18" s="470"/>
      <c r="AA18" s="469"/>
      <c r="AB18" s="475">
        <f t="shared" si="18"/>
        <v>0</v>
      </c>
      <c r="AC18" s="475">
        <f t="shared" si="19"/>
        <v>0</v>
      </c>
      <c r="AD18" s="475">
        <f t="shared" si="20"/>
        <v>0</v>
      </c>
      <c r="AE18" s="475">
        <f t="shared" si="21"/>
        <v>0</v>
      </c>
      <c r="AF18" s="476">
        <f t="shared" si="22"/>
        <v>0</v>
      </c>
      <c r="AG18" s="475">
        <f t="shared" si="23"/>
        <v>0</v>
      </c>
      <c r="AH18" s="476">
        <f t="shared" si="24"/>
        <v>0</v>
      </c>
      <c r="AI18" s="475">
        <f t="shared" si="25"/>
        <v>0</v>
      </c>
      <c r="AJ18" s="477">
        <f>IF((D18&lt;&gt;""),VLOOKUP(D18,Données!$E$36:$H$59,4,FALSE),)</f>
        <v>0</v>
      </c>
      <c r="AK18" s="477">
        <f t="shared" si="27"/>
        <v>0</v>
      </c>
      <c r="AL18" s="478">
        <f t="shared" si="28"/>
        <v>0</v>
      </c>
      <c r="AM18" s="479">
        <f t="shared" si="29"/>
        <v>0</v>
      </c>
      <c r="AN18" s="480">
        <f t="shared" si="12"/>
        <v>0</v>
      </c>
      <c r="AO18" s="477">
        <f t="shared" si="13"/>
        <v>0</v>
      </c>
      <c r="AP18" s="481">
        <f t="shared" si="30"/>
        <v>0</v>
      </c>
      <c r="AQ18" s="481">
        <f t="shared" si="31"/>
        <v>0</v>
      </c>
      <c r="AR18" s="481">
        <f t="shared" si="32"/>
        <v>0</v>
      </c>
      <c r="AS18" s="481">
        <f t="shared" si="33"/>
        <v>0</v>
      </c>
      <c r="AT18" s="479">
        <f t="shared" si="14"/>
        <v>0</v>
      </c>
      <c r="AU18" s="479">
        <f t="shared" si="15"/>
        <v>0</v>
      </c>
      <c r="AV18" s="471">
        <f>IF(Données!$H$8="x",AW18,AX18)</f>
        <v>2.5333333333333332</v>
      </c>
      <c r="AW18" s="471">
        <f t="shared" si="2"/>
        <v>1.2666666666666666</v>
      </c>
      <c r="AX18" s="471">
        <f t="shared" ref="AX18:AX22" si="37">IF(D18="L",AX17,(AX17+"07:36"))</f>
        <v>2.5333333333333332</v>
      </c>
      <c r="AY18" s="467" t="str">
        <f t="shared" si="17"/>
        <v>Lu</v>
      </c>
      <c r="AZ18" s="7">
        <f>IF((S39="M2.2")*AND(S40&lt;&gt;""),VLOOKUP(S40,Échelle!$AX$5:$AY$31,2),)</f>
        <v>0</v>
      </c>
      <c r="BA18" s="4" t="s">
        <v>11</v>
      </c>
      <c r="BB18" s="148"/>
    </row>
    <row r="19" spans="2:54" x14ac:dyDescent="0.2">
      <c r="B19" s="467" t="s">
        <v>176</v>
      </c>
      <c r="C19" s="468" t="s">
        <v>520</v>
      </c>
      <c r="D19" s="469"/>
      <c r="E19" s="469"/>
      <c r="F19" s="470"/>
      <c r="G19" s="470"/>
      <c r="H19" s="470"/>
      <c r="I19" s="470"/>
      <c r="J19" s="487"/>
      <c r="K19" s="487"/>
      <c r="L19" s="471">
        <f t="shared" si="0"/>
        <v>0</v>
      </c>
      <c r="M19" s="471">
        <f t="shared" si="26"/>
        <v>0</v>
      </c>
      <c r="N19" s="488">
        <f>IF(Août!$H$48="x",AV19+Août!$N$37,AV19)</f>
        <v>2.8499999999999996</v>
      </c>
      <c r="O19" s="483" t="str">
        <f t="shared" si="3"/>
        <v>-</v>
      </c>
      <c r="P19" s="489">
        <f t="shared" si="4"/>
        <v>2.8499999999999996</v>
      </c>
      <c r="Q19" s="474">
        <f t="shared" si="5"/>
        <v>0</v>
      </c>
      <c r="R19" s="474">
        <f t="shared" si="6"/>
        <v>0</v>
      </c>
      <c r="S19" s="474">
        <f t="shared" si="7"/>
        <v>0</v>
      </c>
      <c r="T19" s="474">
        <f t="shared" si="8"/>
        <v>0</v>
      </c>
      <c r="U19" s="488">
        <f t="shared" si="9"/>
        <v>0</v>
      </c>
      <c r="V19" s="488">
        <f t="shared" si="36"/>
        <v>0</v>
      </c>
      <c r="W19" s="471">
        <f t="shared" si="10"/>
        <v>0</v>
      </c>
      <c r="X19" s="471">
        <f t="shared" si="11"/>
        <v>0</v>
      </c>
      <c r="Y19" s="470"/>
      <c r="Z19" s="470"/>
      <c r="AA19" s="469"/>
      <c r="AB19" s="475">
        <f t="shared" si="18"/>
        <v>0</v>
      </c>
      <c r="AC19" s="475">
        <f t="shared" si="19"/>
        <v>0</v>
      </c>
      <c r="AD19" s="475">
        <f t="shared" si="20"/>
        <v>0</v>
      </c>
      <c r="AE19" s="475">
        <f t="shared" si="21"/>
        <v>0</v>
      </c>
      <c r="AF19" s="476">
        <f t="shared" si="22"/>
        <v>0</v>
      </c>
      <c r="AG19" s="475">
        <f t="shared" si="23"/>
        <v>0</v>
      </c>
      <c r="AH19" s="476">
        <f t="shared" si="24"/>
        <v>0</v>
      </c>
      <c r="AI19" s="475">
        <f t="shared" si="25"/>
        <v>0</v>
      </c>
      <c r="AJ19" s="477">
        <f>IF((D19&lt;&gt;""),VLOOKUP(D19,Données!$E$36:$H$59,4,FALSE),)</f>
        <v>0</v>
      </c>
      <c r="AK19" s="477">
        <f t="shared" si="27"/>
        <v>0</v>
      </c>
      <c r="AL19" s="478">
        <f t="shared" si="28"/>
        <v>0</v>
      </c>
      <c r="AM19" s="479">
        <f t="shared" si="29"/>
        <v>0</v>
      </c>
      <c r="AN19" s="480">
        <f t="shared" si="12"/>
        <v>0</v>
      </c>
      <c r="AO19" s="477">
        <f t="shared" si="13"/>
        <v>0</v>
      </c>
      <c r="AP19" s="481">
        <f t="shared" si="30"/>
        <v>0</v>
      </c>
      <c r="AQ19" s="481">
        <f t="shared" si="31"/>
        <v>0</v>
      </c>
      <c r="AR19" s="481">
        <f t="shared" si="32"/>
        <v>0</v>
      </c>
      <c r="AS19" s="481">
        <f t="shared" si="33"/>
        <v>0</v>
      </c>
      <c r="AT19" s="479">
        <f t="shared" si="14"/>
        <v>0</v>
      </c>
      <c r="AU19" s="479">
        <f t="shared" si="15"/>
        <v>0</v>
      </c>
      <c r="AV19" s="471">
        <f>IF(Données!$H$8="x",AW19,AX19)</f>
        <v>2.8499999999999996</v>
      </c>
      <c r="AW19" s="471">
        <f t="shared" si="2"/>
        <v>1.4249999999999998</v>
      </c>
      <c r="AX19" s="471">
        <f t="shared" si="37"/>
        <v>2.8499999999999996</v>
      </c>
      <c r="AY19" s="467" t="str">
        <f t="shared" si="17"/>
        <v>Ma</v>
      </c>
      <c r="AZ19" s="7">
        <f>IF((S39="M3.1")*AND(S40&lt;&gt;""),VLOOKUP(S40,Échelle!$BA$5:$BB$31,2),)</f>
        <v>0</v>
      </c>
      <c r="BA19" s="4" t="s">
        <v>12</v>
      </c>
      <c r="BB19" s="148"/>
    </row>
    <row r="20" spans="2:54" x14ac:dyDescent="0.2">
      <c r="B20" s="467" t="s">
        <v>178</v>
      </c>
      <c r="C20" s="468" t="s">
        <v>521</v>
      </c>
      <c r="D20" s="469"/>
      <c r="E20" s="469"/>
      <c r="F20" s="470"/>
      <c r="G20" s="470"/>
      <c r="H20" s="470"/>
      <c r="I20" s="470"/>
      <c r="J20" s="487"/>
      <c r="K20" s="487"/>
      <c r="L20" s="471">
        <f t="shared" si="0"/>
        <v>0</v>
      </c>
      <c r="M20" s="471">
        <f t="shared" si="26"/>
        <v>0</v>
      </c>
      <c r="N20" s="488">
        <f>IF(Août!$H$48="x",AV20+Août!$N$37,AV20)</f>
        <v>3.1666666666666661</v>
      </c>
      <c r="O20" s="483" t="str">
        <f t="shared" si="3"/>
        <v>-</v>
      </c>
      <c r="P20" s="489">
        <f t="shared" si="4"/>
        <v>3.1666666666666661</v>
      </c>
      <c r="Q20" s="474">
        <f t="shared" si="5"/>
        <v>0</v>
      </c>
      <c r="R20" s="474">
        <f t="shared" si="6"/>
        <v>0</v>
      </c>
      <c r="S20" s="474">
        <f t="shared" si="7"/>
        <v>0</v>
      </c>
      <c r="T20" s="474">
        <f t="shared" si="8"/>
        <v>0</v>
      </c>
      <c r="U20" s="488">
        <f t="shared" si="9"/>
        <v>0</v>
      </c>
      <c r="V20" s="488">
        <f t="shared" si="36"/>
        <v>0</v>
      </c>
      <c r="W20" s="471">
        <f t="shared" si="10"/>
        <v>0</v>
      </c>
      <c r="X20" s="471">
        <f t="shared" si="11"/>
        <v>0</v>
      </c>
      <c r="Y20" s="470"/>
      <c r="Z20" s="470"/>
      <c r="AA20" s="469"/>
      <c r="AB20" s="475">
        <f t="shared" si="18"/>
        <v>0</v>
      </c>
      <c r="AC20" s="475">
        <f t="shared" si="19"/>
        <v>0</v>
      </c>
      <c r="AD20" s="475">
        <f t="shared" si="20"/>
        <v>0</v>
      </c>
      <c r="AE20" s="475">
        <f t="shared" si="21"/>
        <v>0</v>
      </c>
      <c r="AF20" s="476">
        <f t="shared" si="22"/>
        <v>0</v>
      </c>
      <c r="AG20" s="475">
        <f t="shared" si="23"/>
        <v>0</v>
      </c>
      <c r="AH20" s="476">
        <f t="shared" si="24"/>
        <v>0</v>
      </c>
      <c r="AI20" s="475">
        <f t="shared" si="25"/>
        <v>0</v>
      </c>
      <c r="AJ20" s="477">
        <f>IF((D20&lt;&gt;""),VLOOKUP(D20,Données!$E$36:$H$59,4,FALSE),)</f>
        <v>0</v>
      </c>
      <c r="AK20" s="477">
        <f t="shared" si="27"/>
        <v>0</v>
      </c>
      <c r="AL20" s="478">
        <f t="shared" si="28"/>
        <v>0</v>
      </c>
      <c r="AM20" s="479">
        <f t="shared" si="29"/>
        <v>0</v>
      </c>
      <c r="AN20" s="480">
        <f t="shared" si="12"/>
        <v>0</v>
      </c>
      <c r="AO20" s="477">
        <f t="shared" si="13"/>
        <v>0</v>
      </c>
      <c r="AP20" s="481">
        <f t="shared" si="30"/>
        <v>0</v>
      </c>
      <c r="AQ20" s="481">
        <f t="shared" si="31"/>
        <v>0</v>
      </c>
      <c r="AR20" s="481">
        <f t="shared" si="32"/>
        <v>0</v>
      </c>
      <c r="AS20" s="481">
        <f t="shared" si="33"/>
        <v>0</v>
      </c>
      <c r="AT20" s="479">
        <f t="shared" si="14"/>
        <v>0</v>
      </c>
      <c r="AU20" s="479">
        <f t="shared" si="15"/>
        <v>0</v>
      </c>
      <c r="AV20" s="471">
        <f>IF(Données!$H$8="x",AW20,AX20)</f>
        <v>3.1666666666666661</v>
      </c>
      <c r="AW20" s="471">
        <f t="shared" si="2"/>
        <v>1.583333333333333</v>
      </c>
      <c r="AX20" s="471">
        <f t="shared" si="37"/>
        <v>3.1666666666666661</v>
      </c>
      <c r="AY20" s="467" t="str">
        <f t="shared" si="17"/>
        <v>Me</v>
      </c>
      <c r="AZ20" s="7">
        <f>IF((S39="M3.2")*AND(S40&lt;&gt;""),VLOOKUP(S40,Échelle!$BD$5:$BE$31,2),)</f>
        <v>0</v>
      </c>
      <c r="BA20" s="4" t="s">
        <v>13</v>
      </c>
      <c r="BB20" s="148"/>
    </row>
    <row r="21" spans="2:54" x14ac:dyDescent="0.2">
      <c r="B21" s="467" t="s">
        <v>180</v>
      </c>
      <c r="C21" s="468" t="s">
        <v>522</v>
      </c>
      <c r="D21" s="469"/>
      <c r="E21" s="469"/>
      <c r="F21" s="470"/>
      <c r="G21" s="470"/>
      <c r="H21" s="470"/>
      <c r="I21" s="470"/>
      <c r="J21" s="487"/>
      <c r="K21" s="487"/>
      <c r="L21" s="471">
        <f t="shared" si="0"/>
        <v>0</v>
      </c>
      <c r="M21" s="471">
        <f t="shared" si="26"/>
        <v>0</v>
      </c>
      <c r="N21" s="488">
        <f>IF(Août!$H$48="x",AV21+Août!$N$37,AV21)</f>
        <v>3.4833333333333325</v>
      </c>
      <c r="O21" s="483" t="str">
        <f t="shared" si="3"/>
        <v>-</v>
      </c>
      <c r="P21" s="489">
        <f t="shared" si="4"/>
        <v>3.4833333333333325</v>
      </c>
      <c r="Q21" s="474">
        <f t="shared" si="5"/>
        <v>0</v>
      </c>
      <c r="R21" s="474">
        <f t="shared" si="6"/>
        <v>0</v>
      </c>
      <c r="S21" s="474">
        <f t="shared" si="7"/>
        <v>0</v>
      </c>
      <c r="T21" s="474">
        <f t="shared" si="8"/>
        <v>0</v>
      </c>
      <c r="U21" s="488">
        <f t="shared" si="9"/>
        <v>0</v>
      </c>
      <c r="V21" s="488">
        <f t="shared" si="36"/>
        <v>0</v>
      </c>
      <c r="W21" s="471">
        <f t="shared" si="10"/>
        <v>0</v>
      </c>
      <c r="X21" s="471">
        <f t="shared" si="11"/>
        <v>0</v>
      </c>
      <c r="Y21" s="470"/>
      <c r="Z21" s="470"/>
      <c r="AA21" s="469"/>
      <c r="AB21" s="475">
        <f t="shared" si="18"/>
        <v>0</v>
      </c>
      <c r="AC21" s="475">
        <f t="shared" si="19"/>
        <v>0</v>
      </c>
      <c r="AD21" s="475">
        <f t="shared" si="20"/>
        <v>0</v>
      </c>
      <c r="AE21" s="475">
        <f t="shared" si="21"/>
        <v>0</v>
      </c>
      <c r="AF21" s="476">
        <f t="shared" si="22"/>
        <v>0</v>
      </c>
      <c r="AG21" s="475">
        <f t="shared" si="23"/>
        <v>0</v>
      </c>
      <c r="AH21" s="476">
        <f t="shared" si="24"/>
        <v>0</v>
      </c>
      <c r="AI21" s="475">
        <f t="shared" si="25"/>
        <v>0</v>
      </c>
      <c r="AJ21" s="477">
        <f>IF((D21&lt;&gt;""),VLOOKUP(D21,Données!$E$36:$H$59,4,FALSE),)</f>
        <v>0</v>
      </c>
      <c r="AK21" s="477">
        <f t="shared" si="27"/>
        <v>0</v>
      </c>
      <c r="AL21" s="478">
        <f t="shared" si="28"/>
        <v>0</v>
      </c>
      <c r="AM21" s="479">
        <f t="shared" si="29"/>
        <v>0</v>
      </c>
      <c r="AN21" s="480">
        <f t="shared" si="12"/>
        <v>0</v>
      </c>
      <c r="AO21" s="477">
        <f t="shared" si="13"/>
        <v>0</v>
      </c>
      <c r="AP21" s="481">
        <f t="shared" si="30"/>
        <v>0</v>
      </c>
      <c r="AQ21" s="481">
        <f t="shared" si="31"/>
        <v>0</v>
      </c>
      <c r="AR21" s="481">
        <f t="shared" si="32"/>
        <v>0</v>
      </c>
      <c r="AS21" s="481">
        <f t="shared" si="33"/>
        <v>0</v>
      </c>
      <c r="AT21" s="479">
        <f t="shared" si="14"/>
        <v>0</v>
      </c>
      <c r="AU21" s="479">
        <f t="shared" si="15"/>
        <v>0</v>
      </c>
      <c r="AV21" s="471">
        <f>IF(Données!$H$8="x",AW21,AX21)</f>
        <v>3.4833333333333325</v>
      </c>
      <c r="AW21" s="471">
        <f t="shared" si="2"/>
        <v>1.7416666666666663</v>
      </c>
      <c r="AX21" s="471">
        <f t="shared" si="37"/>
        <v>3.4833333333333325</v>
      </c>
      <c r="AY21" s="467" t="str">
        <f t="shared" si="17"/>
        <v>Je</v>
      </c>
      <c r="AZ21" s="7">
        <f>IF((S39="M4.1")*AND(S40&lt;&gt;""),VLOOKUP(S40,Échelle!$BJ$39:$BK$68,2),)</f>
        <v>33124</v>
      </c>
      <c r="BA21" s="4" t="s">
        <v>14</v>
      </c>
      <c r="BB21" s="148"/>
    </row>
    <row r="22" spans="2:54" x14ac:dyDescent="0.2">
      <c r="B22" s="467" t="s">
        <v>182</v>
      </c>
      <c r="C22" s="468" t="s">
        <v>523</v>
      </c>
      <c r="D22" s="469"/>
      <c r="E22" s="469"/>
      <c r="F22" s="470"/>
      <c r="G22" s="470"/>
      <c r="H22" s="470"/>
      <c r="I22" s="470"/>
      <c r="J22" s="487"/>
      <c r="K22" s="487"/>
      <c r="L22" s="471">
        <f t="shared" si="0"/>
        <v>0</v>
      </c>
      <c r="M22" s="471">
        <f>M21+L22</f>
        <v>0</v>
      </c>
      <c r="N22" s="488">
        <f>IF(Août!$H$48="x",AV22+Août!$N$37,AV22)</f>
        <v>3.7999999999999989</v>
      </c>
      <c r="O22" s="483" t="str">
        <f t="shared" si="3"/>
        <v>-</v>
      </c>
      <c r="P22" s="489">
        <f t="shared" si="4"/>
        <v>3.7999999999999989</v>
      </c>
      <c r="Q22" s="474">
        <f t="shared" si="5"/>
        <v>0</v>
      </c>
      <c r="R22" s="474">
        <f t="shared" si="6"/>
        <v>0</v>
      </c>
      <c r="S22" s="474">
        <f t="shared" si="7"/>
        <v>0</v>
      </c>
      <c r="T22" s="474">
        <f t="shared" si="8"/>
        <v>0</v>
      </c>
      <c r="U22" s="488">
        <f t="shared" si="9"/>
        <v>0</v>
      </c>
      <c r="V22" s="488">
        <f t="shared" si="36"/>
        <v>0</v>
      </c>
      <c r="W22" s="471">
        <f t="shared" si="10"/>
        <v>0</v>
      </c>
      <c r="X22" s="471">
        <f t="shared" si="11"/>
        <v>0</v>
      </c>
      <c r="Y22" s="470"/>
      <c r="Z22" s="470"/>
      <c r="AA22" s="469"/>
      <c r="AB22" s="475">
        <f t="shared" si="18"/>
        <v>0</v>
      </c>
      <c r="AC22" s="475">
        <f t="shared" si="19"/>
        <v>0</v>
      </c>
      <c r="AD22" s="475">
        <f t="shared" si="20"/>
        <v>0</v>
      </c>
      <c r="AE22" s="475">
        <f t="shared" si="21"/>
        <v>0</v>
      </c>
      <c r="AF22" s="476">
        <f t="shared" si="22"/>
        <v>0</v>
      </c>
      <c r="AG22" s="475">
        <f t="shared" si="23"/>
        <v>0</v>
      </c>
      <c r="AH22" s="476">
        <f t="shared" si="24"/>
        <v>0</v>
      </c>
      <c r="AI22" s="475">
        <f t="shared" si="25"/>
        <v>0</v>
      </c>
      <c r="AJ22" s="477">
        <f>IF((D22&lt;&gt;""),VLOOKUP(D22,Données!$E$36:$H$59,4,FALSE),)</f>
        <v>0</v>
      </c>
      <c r="AK22" s="477">
        <f t="shared" si="27"/>
        <v>0</v>
      </c>
      <c r="AL22" s="478">
        <f t="shared" si="28"/>
        <v>0</v>
      </c>
      <c r="AM22" s="479">
        <f t="shared" si="29"/>
        <v>0</v>
      </c>
      <c r="AN22" s="480">
        <f t="shared" si="12"/>
        <v>0</v>
      </c>
      <c r="AO22" s="477">
        <f t="shared" si="13"/>
        <v>0</v>
      </c>
      <c r="AP22" s="481">
        <f t="shared" si="30"/>
        <v>0</v>
      </c>
      <c r="AQ22" s="481">
        <f t="shared" si="31"/>
        <v>0</v>
      </c>
      <c r="AR22" s="481">
        <f t="shared" si="32"/>
        <v>0</v>
      </c>
      <c r="AS22" s="481">
        <f t="shared" si="33"/>
        <v>0</v>
      </c>
      <c r="AT22" s="479">
        <f t="shared" si="14"/>
        <v>0</v>
      </c>
      <c r="AU22" s="479">
        <f t="shared" si="15"/>
        <v>0</v>
      </c>
      <c r="AV22" s="471">
        <f>IF(Données!$H$8="x",AW22,AX22)</f>
        <v>3.7999999999999989</v>
      </c>
      <c r="AW22" s="471">
        <f t="shared" si="2"/>
        <v>1.8999999999999995</v>
      </c>
      <c r="AX22" s="471">
        <f t="shared" si="37"/>
        <v>3.7999999999999989</v>
      </c>
      <c r="AY22" s="467" t="str">
        <f t="shared" si="17"/>
        <v>Ve</v>
      </c>
      <c r="AZ22" s="7">
        <f>IF((S39="M4.2")*AND(S40&lt;&gt;""),VLOOKUP(S40,Échelle!$BJ$5:$BK$31,2),)</f>
        <v>0</v>
      </c>
      <c r="BA22" s="4" t="s">
        <v>15</v>
      </c>
      <c r="BB22" s="148"/>
    </row>
    <row r="23" spans="2:54" x14ac:dyDescent="0.2">
      <c r="B23" s="403" t="s">
        <v>184</v>
      </c>
      <c r="C23" s="412" t="s">
        <v>524</v>
      </c>
      <c r="D23" s="411"/>
      <c r="E23" s="411"/>
      <c r="F23" s="401"/>
      <c r="G23" s="401"/>
      <c r="H23" s="401"/>
      <c r="I23" s="401"/>
      <c r="J23" s="406"/>
      <c r="K23" s="406"/>
      <c r="L23" s="402">
        <f>(G23-F23)+(I23-H23)+(K23-J23)</f>
        <v>0</v>
      </c>
      <c r="M23" s="402">
        <f>M22+L23</f>
        <v>0</v>
      </c>
      <c r="N23" s="407">
        <f>IF(Août!$H$48="x",AV23+Août!$N$37,AV23)</f>
        <v>3.7999999999999989</v>
      </c>
      <c r="O23" s="408" t="str">
        <f t="shared" si="3"/>
        <v>-</v>
      </c>
      <c r="P23" s="409">
        <f t="shared" si="4"/>
        <v>3.7999999999999989</v>
      </c>
      <c r="Q23" s="410">
        <f t="shared" si="5"/>
        <v>0</v>
      </c>
      <c r="R23" s="410">
        <f t="shared" si="6"/>
        <v>0</v>
      </c>
      <c r="S23" s="410">
        <f t="shared" si="7"/>
        <v>0</v>
      </c>
      <c r="T23" s="410">
        <f t="shared" si="8"/>
        <v>0</v>
      </c>
      <c r="U23" s="407">
        <f t="shared" si="9"/>
        <v>0</v>
      </c>
      <c r="V23" s="407">
        <f>L23</f>
        <v>0</v>
      </c>
      <c r="W23" s="402">
        <f t="shared" si="10"/>
        <v>0</v>
      </c>
      <c r="X23" s="402">
        <f t="shared" si="11"/>
        <v>0</v>
      </c>
      <c r="Y23" s="401"/>
      <c r="Z23" s="401"/>
      <c r="AA23" s="411"/>
      <c r="AB23" s="420">
        <f t="shared" si="18"/>
        <v>0</v>
      </c>
      <c r="AC23" s="420">
        <f t="shared" si="19"/>
        <v>0</v>
      </c>
      <c r="AD23" s="420">
        <f t="shared" si="20"/>
        <v>0</v>
      </c>
      <c r="AE23" s="420">
        <f t="shared" si="21"/>
        <v>0</v>
      </c>
      <c r="AF23" s="421">
        <f t="shared" si="22"/>
        <v>0</v>
      </c>
      <c r="AG23" s="420">
        <f t="shared" si="23"/>
        <v>0</v>
      </c>
      <c r="AH23" s="421">
        <f t="shared" si="24"/>
        <v>0</v>
      </c>
      <c r="AI23" s="420">
        <f t="shared" si="25"/>
        <v>0</v>
      </c>
      <c r="AJ23" s="422">
        <f>IF((D23&lt;&gt;""),VLOOKUP(D23,Données!$E$36:$H$59,4,FALSE),)</f>
        <v>0</v>
      </c>
      <c r="AK23" s="422">
        <f t="shared" si="27"/>
        <v>0</v>
      </c>
      <c r="AL23" s="423">
        <f t="shared" si="28"/>
        <v>0</v>
      </c>
      <c r="AM23" s="424">
        <f t="shared" si="29"/>
        <v>0</v>
      </c>
      <c r="AN23" s="425">
        <f t="shared" si="12"/>
        <v>0</v>
      </c>
      <c r="AO23" s="422">
        <f t="shared" si="13"/>
        <v>0</v>
      </c>
      <c r="AP23" s="426">
        <f t="shared" si="30"/>
        <v>0</v>
      </c>
      <c r="AQ23" s="426">
        <f t="shared" si="31"/>
        <v>0</v>
      </c>
      <c r="AR23" s="426">
        <f t="shared" si="32"/>
        <v>0</v>
      </c>
      <c r="AS23" s="426">
        <f t="shared" si="33"/>
        <v>0</v>
      </c>
      <c r="AT23" s="424">
        <f t="shared" si="14"/>
        <v>0</v>
      </c>
      <c r="AU23" s="424">
        <f t="shared" si="15"/>
        <v>0</v>
      </c>
      <c r="AV23" s="402">
        <f>IF(Données!$H$8="x",AW23,AX23)</f>
        <v>3.7999999999999989</v>
      </c>
      <c r="AW23" s="402">
        <f t="shared" si="2"/>
        <v>1.8999999999999995</v>
      </c>
      <c r="AX23" s="402">
        <f>AX22</f>
        <v>3.7999999999999989</v>
      </c>
      <c r="AY23" s="403" t="str">
        <f t="shared" si="17"/>
        <v>Sa</v>
      </c>
      <c r="AZ23" s="423">
        <f>IF((S39="M5.1")*AND(S40&lt;&gt;""),VLOOKUP(S40,Échelle!$BM$5:$BN$31,2),)</f>
        <v>0</v>
      </c>
      <c r="BA23" s="424" t="s">
        <v>16</v>
      </c>
      <c r="BB23" s="148"/>
    </row>
    <row r="24" spans="2:54" x14ac:dyDescent="0.2">
      <c r="B24" s="403" t="s">
        <v>186</v>
      </c>
      <c r="C24" s="412" t="s">
        <v>525</v>
      </c>
      <c r="D24" s="411"/>
      <c r="E24" s="411"/>
      <c r="F24" s="401"/>
      <c r="G24" s="401"/>
      <c r="H24" s="401"/>
      <c r="I24" s="401"/>
      <c r="J24" s="406"/>
      <c r="K24" s="406"/>
      <c r="L24" s="402">
        <f>(G24-F24)+(I24-H24)+(K24-J24)</f>
        <v>0</v>
      </c>
      <c r="M24" s="402">
        <f t="shared" si="26"/>
        <v>0</v>
      </c>
      <c r="N24" s="407">
        <f>IF(Août!$H$48="x",AV24+Août!$N$37,AV24)</f>
        <v>3.7999999999999989</v>
      </c>
      <c r="O24" s="408" t="str">
        <f t="shared" si="3"/>
        <v>-</v>
      </c>
      <c r="P24" s="409">
        <f t="shared" si="4"/>
        <v>3.7999999999999989</v>
      </c>
      <c r="Q24" s="410">
        <f t="shared" si="5"/>
        <v>0</v>
      </c>
      <c r="R24" s="410">
        <f t="shared" si="6"/>
        <v>0</v>
      </c>
      <c r="S24" s="410">
        <f t="shared" si="7"/>
        <v>0</v>
      </c>
      <c r="T24" s="410">
        <f t="shared" si="8"/>
        <v>0</v>
      </c>
      <c r="U24" s="407">
        <f t="shared" si="9"/>
        <v>0</v>
      </c>
      <c r="V24" s="407">
        <f>L24</f>
        <v>0</v>
      </c>
      <c r="W24" s="402">
        <f t="shared" si="10"/>
        <v>0</v>
      </c>
      <c r="X24" s="402">
        <f t="shared" si="11"/>
        <v>0</v>
      </c>
      <c r="Y24" s="401"/>
      <c r="Z24" s="401"/>
      <c r="AA24" s="411"/>
      <c r="AB24" s="420">
        <f t="shared" si="18"/>
        <v>0</v>
      </c>
      <c r="AC24" s="420">
        <f t="shared" si="19"/>
        <v>0</v>
      </c>
      <c r="AD24" s="420">
        <f t="shared" si="20"/>
        <v>0</v>
      </c>
      <c r="AE24" s="420">
        <f t="shared" si="21"/>
        <v>0</v>
      </c>
      <c r="AF24" s="421">
        <f t="shared" si="22"/>
        <v>0</v>
      </c>
      <c r="AG24" s="420">
        <f t="shared" si="23"/>
        <v>0</v>
      </c>
      <c r="AH24" s="421">
        <f t="shared" si="24"/>
        <v>0</v>
      </c>
      <c r="AI24" s="420">
        <f t="shared" si="25"/>
        <v>0</v>
      </c>
      <c r="AJ24" s="422">
        <f>IF((D24&lt;&gt;""),VLOOKUP(D24,Données!$E$36:$H$59,4,FALSE),)</f>
        <v>0</v>
      </c>
      <c r="AK24" s="422">
        <f t="shared" si="27"/>
        <v>0</v>
      </c>
      <c r="AL24" s="423">
        <f t="shared" si="28"/>
        <v>0</v>
      </c>
      <c r="AM24" s="424">
        <f t="shared" si="29"/>
        <v>0</v>
      </c>
      <c r="AN24" s="425">
        <f t="shared" si="12"/>
        <v>0</v>
      </c>
      <c r="AO24" s="422">
        <f t="shared" si="13"/>
        <v>0</v>
      </c>
      <c r="AP24" s="426">
        <f t="shared" si="30"/>
        <v>0</v>
      </c>
      <c r="AQ24" s="426">
        <f t="shared" si="31"/>
        <v>0</v>
      </c>
      <c r="AR24" s="426">
        <f t="shared" si="32"/>
        <v>0</v>
      </c>
      <c r="AS24" s="426">
        <f t="shared" si="33"/>
        <v>0</v>
      </c>
      <c r="AT24" s="424">
        <f t="shared" si="14"/>
        <v>0</v>
      </c>
      <c r="AU24" s="424">
        <f t="shared" si="15"/>
        <v>0</v>
      </c>
      <c r="AV24" s="402">
        <f>IF(Données!$H$8="x",AW24,AX24)</f>
        <v>3.7999999999999989</v>
      </c>
      <c r="AW24" s="402">
        <f t="shared" si="2"/>
        <v>1.8999999999999995</v>
      </c>
      <c r="AX24" s="402">
        <f>AX23</f>
        <v>3.7999999999999989</v>
      </c>
      <c r="AY24" s="403" t="str">
        <f t="shared" si="17"/>
        <v>Di</v>
      </c>
      <c r="AZ24" s="423">
        <f>IF((S39="M5.2")*AND(S40&lt;&gt;""),VLOOKUP(S40,Échelle!$BP$5:$BQ$31,2),)</f>
        <v>0</v>
      </c>
      <c r="BA24" s="424" t="s">
        <v>17</v>
      </c>
      <c r="BB24" s="148"/>
    </row>
    <row r="25" spans="2:54" x14ac:dyDescent="0.2">
      <c r="B25" s="467" t="s">
        <v>188</v>
      </c>
      <c r="C25" s="468" t="s">
        <v>526</v>
      </c>
      <c r="D25" s="469"/>
      <c r="E25" s="469"/>
      <c r="F25" s="470"/>
      <c r="G25" s="470"/>
      <c r="H25" s="470"/>
      <c r="I25" s="470"/>
      <c r="J25" s="487"/>
      <c r="K25" s="487"/>
      <c r="L25" s="471">
        <f t="shared" si="0"/>
        <v>0</v>
      </c>
      <c r="M25" s="471">
        <f t="shared" si="26"/>
        <v>0</v>
      </c>
      <c r="N25" s="488">
        <f>IF(Août!$H$48="x",AV25+Août!$N$37,AV25)</f>
        <v>4.1166666666666654</v>
      </c>
      <c r="O25" s="483" t="str">
        <f t="shared" si="3"/>
        <v>-</v>
      </c>
      <c r="P25" s="489">
        <f t="shared" si="4"/>
        <v>4.1166666666666654</v>
      </c>
      <c r="Q25" s="474">
        <f t="shared" si="5"/>
        <v>0</v>
      </c>
      <c r="R25" s="474">
        <f t="shared" si="6"/>
        <v>0</v>
      </c>
      <c r="S25" s="474">
        <f t="shared" si="7"/>
        <v>0</v>
      </c>
      <c r="T25" s="474">
        <f t="shared" si="8"/>
        <v>0</v>
      </c>
      <c r="U25" s="488">
        <f t="shared" si="9"/>
        <v>0</v>
      </c>
      <c r="V25" s="488">
        <f t="shared" ref="V25:V29" si="38">IF(D25="F",L25,0)</f>
        <v>0</v>
      </c>
      <c r="W25" s="471">
        <f t="shared" si="10"/>
        <v>0</v>
      </c>
      <c r="X25" s="471">
        <f t="shared" si="11"/>
        <v>0</v>
      </c>
      <c r="Y25" s="470"/>
      <c r="Z25" s="470"/>
      <c r="AA25" s="469"/>
      <c r="AB25" s="475">
        <f t="shared" si="18"/>
        <v>0</v>
      </c>
      <c r="AC25" s="475">
        <f t="shared" si="19"/>
        <v>0</v>
      </c>
      <c r="AD25" s="475">
        <f t="shared" si="20"/>
        <v>0</v>
      </c>
      <c r="AE25" s="475">
        <f t="shared" si="21"/>
        <v>0</v>
      </c>
      <c r="AF25" s="476">
        <f t="shared" si="22"/>
        <v>0</v>
      </c>
      <c r="AG25" s="475">
        <f t="shared" si="23"/>
        <v>0</v>
      </c>
      <c r="AH25" s="476">
        <f t="shared" si="24"/>
        <v>0</v>
      </c>
      <c r="AI25" s="475">
        <f t="shared" si="25"/>
        <v>0</v>
      </c>
      <c r="AJ25" s="477">
        <f>IF((D25&lt;&gt;""),VLOOKUP(D25,Données!$E$36:$H$59,4,FALSE),)</f>
        <v>0</v>
      </c>
      <c r="AK25" s="477">
        <f t="shared" si="27"/>
        <v>0</v>
      </c>
      <c r="AL25" s="478">
        <f t="shared" si="28"/>
        <v>0</v>
      </c>
      <c r="AM25" s="479">
        <f t="shared" si="29"/>
        <v>0</v>
      </c>
      <c r="AN25" s="480">
        <f t="shared" si="12"/>
        <v>0</v>
      </c>
      <c r="AO25" s="477">
        <f t="shared" si="13"/>
        <v>0</v>
      </c>
      <c r="AP25" s="481">
        <f t="shared" si="30"/>
        <v>0</v>
      </c>
      <c r="AQ25" s="481">
        <f t="shared" si="31"/>
        <v>0</v>
      </c>
      <c r="AR25" s="481">
        <f t="shared" si="32"/>
        <v>0</v>
      </c>
      <c r="AS25" s="481">
        <f t="shared" si="33"/>
        <v>0</v>
      </c>
      <c r="AT25" s="479">
        <f t="shared" si="14"/>
        <v>0</v>
      </c>
      <c r="AU25" s="479">
        <f t="shared" si="15"/>
        <v>0</v>
      </c>
      <c r="AV25" s="471">
        <f>IF(Données!$H$8="x",AW25,AX25)</f>
        <v>4.1166666666666654</v>
      </c>
      <c r="AW25" s="471">
        <f t="shared" si="2"/>
        <v>2.0583333333333327</v>
      </c>
      <c r="AX25" s="471">
        <f t="shared" ref="AX25:AX29" si="39">IF(D25="L",AX24,(AX24+"07:36"))</f>
        <v>4.1166666666666654</v>
      </c>
      <c r="AY25" s="467" t="str">
        <f t="shared" si="17"/>
        <v>Lu</v>
      </c>
      <c r="AZ25" s="7">
        <f>IF((S39="M6")*AND(S40&lt;&gt;""),VLOOKUP(S40,Échelle!$BS$5:$BT$31,2),)</f>
        <v>0</v>
      </c>
      <c r="BA25" s="4" t="s">
        <v>18</v>
      </c>
      <c r="BB25" s="148"/>
    </row>
    <row r="26" spans="2:54" x14ac:dyDescent="0.2">
      <c r="B26" s="467" t="s">
        <v>176</v>
      </c>
      <c r="C26" s="468" t="s">
        <v>527</v>
      </c>
      <c r="D26" s="469"/>
      <c r="E26" s="469"/>
      <c r="F26" s="470"/>
      <c r="G26" s="470"/>
      <c r="H26" s="470"/>
      <c r="I26" s="470"/>
      <c r="J26" s="487"/>
      <c r="K26" s="487"/>
      <c r="L26" s="471">
        <f t="shared" si="0"/>
        <v>0</v>
      </c>
      <c r="M26" s="471">
        <f t="shared" si="26"/>
        <v>0</v>
      </c>
      <c r="N26" s="488">
        <f>IF(Août!$H$48="x",AV26+Août!$N$37,AV26)</f>
        <v>4.4333333333333318</v>
      </c>
      <c r="O26" s="483" t="str">
        <f t="shared" si="3"/>
        <v>-</v>
      </c>
      <c r="P26" s="489">
        <f t="shared" si="4"/>
        <v>4.4333333333333318</v>
      </c>
      <c r="Q26" s="474">
        <f t="shared" si="5"/>
        <v>0</v>
      </c>
      <c r="R26" s="474">
        <f t="shared" si="6"/>
        <v>0</v>
      </c>
      <c r="S26" s="474">
        <f t="shared" si="7"/>
        <v>0</v>
      </c>
      <c r="T26" s="474">
        <f t="shared" si="8"/>
        <v>0</v>
      </c>
      <c r="U26" s="488">
        <f t="shared" si="9"/>
        <v>0</v>
      </c>
      <c r="V26" s="488">
        <f t="shared" si="38"/>
        <v>0</v>
      </c>
      <c r="W26" s="471">
        <f t="shared" si="10"/>
        <v>0</v>
      </c>
      <c r="X26" s="471">
        <f t="shared" si="11"/>
        <v>0</v>
      </c>
      <c r="Y26" s="470"/>
      <c r="Z26" s="470"/>
      <c r="AA26" s="469"/>
      <c r="AB26" s="475">
        <f t="shared" si="18"/>
        <v>0</v>
      </c>
      <c r="AC26" s="475">
        <f t="shared" si="19"/>
        <v>0</v>
      </c>
      <c r="AD26" s="475">
        <f t="shared" si="20"/>
        <v>0</v>
      </c>
      <c r="AE26" s="475">
        <f t="shared" si="21"/>
        <v>0</v>
      </c>
      <c r="AF26" s="476">
        <f t="shared" si="22"/>
        <v>0</v>
      </c>
      <c r="AG26" s="475">
        <f t="shared" si="23"/>
        <v>0</v>
      </c>
      <c r="AH26" s="476">
        <f t="shared" si="24"/>
        <v>0</v>
      </c>
      <c r="AI26" s="475">
        <f t="shared" si="25"/>
        <v>0</v>
      </c>
      <c r="AJ26" s="477">
        <f>IF((D26&lt;&gt;""),VLOOKUP(D26,Données!$E$36:$H$59,4,FALSE),)</f>
        <v>0</v>
      </c>
      <c r="AK26" s="477">
        <f t="shared" si="27"/>
        <v>0</v>
      </c>
      <c r="AL26" s="478">
        <f t="shared" si="28"/>
        <v>0</v>
      </c>
      <c r="AM26" s="479">
        <f t="shared" si="29"/>
        <v>0</v>
      </c>
      <c r="AN26" s="480">
        <f t="shared" si="12"/>
        <v>0</v>
      </c>
      <c r="AO26" s="477">
        <f t="shared" si="13"/>
        <v>0</v>
      </c>
      <c r="AP26" s="481">
        <f t="shared" si="30"/>
        <v>0</v>
      </c>
      <c r="AQ26" s="481">
        <f t="shared" si="31"/>
        <v>0</v>
      </c>
      <c r="AR26" s="481">
        <f t="shared" si="32"/>
        <v>0</v>
      </c>
      <c r="AS26" s="481">
        <f t="shared" si="33"/>
        <v>0</v>
      </c>
      <c r="AT26" s="479">
        <f t="shared" si="14"/>
        <v>0</v>
      </c>
      <c r="AU26" s="479">
        <f t="shared" si="15"/>
        <v>0</v>
      </c>
      <c r="AV26" s="471">
        <f>IF(Données!$H$8="x",AW26,AX26)</f>
        <v>4.4333333333333318</v>
      </c>
      <c r="AW26" s="471">
        <f t="shared" si="2"/>
        <v>2.2166666666666659</v>
      </c>
      <c r="AX26" s="471">
        <f t="shared" si="39"/>
        <v>4.4333333333333318</v>
      </c>
      <c r="AY26" s="467" t="str">
        <f t="shared" si="17"/>
        <v>Ma</v>
      </c>
      <c r="AZ26" s="7">
        <f>IF((S39="M7")*AND(S40&lt;&gt;""),VLOOKUP(S40,Échelle!$BV$5:$BW$31,2),)</f>
        <v>0</v>
      </c>
      <c r="BA26" s="4" t="s">
        <v>19</v>
      </c>
      <c r="BB26" s="148"/>
    </row>
    <row r="27" spans="2:54" x14ac:dyDescent="0.2">
      <c r="B27" s="467" t="s">
        <v>178</v>
      </c>
      <c r="C27" s="468" t="s">
        <v>528</v>
      </c>
      <c r="D27" s="469"/>
      <c r="E27" s="469"/>
      <c r="F27" s="470"/>
      <c r="G27" s="470"/>
      <c r="H27" s="470"/>
      <c r="I27" s="470"/>
      <c r="J27" s="487"/>
      <c r="K27" s="487"/>
      <c r="L27" s="471">
        <f t="shared" si="0"/>
        <v>0</v>
      </c>
      <c r="M27" s="471">
        <f t="shared" si="26"/>
        <v>0</v>
      </c>
      <c r="N27" s="488">
        <f>IF(Août!$H$48="x",AV27+Août!$N$37,AV27)</f>
        <v>4.7499999999999982</v>
      </c>
      <c r="O27" s="483" t="str">
        <f t="shared" si="3"/>
        <v>-</v>
      </c>
      <c r="P27" s="489">
        <f t="shared" si="4"/>
        <v>4.7499999999999982</v>
      </c>
      <c r="Q27" s="474">
        <f t="shared" si="5"/>
        <v>0</v>
      </c>
      <c r="R27" s="474">
        <f t="shared" si="6"/>
        <v>0</v>
      </c>
      <c r="S27" s="474">
        <f t="shared" si="7"/>
        <v>0</v>
      </c>
      <c r="T27" s="474">
        <f t="shared" si="8"/>
        <v>0</v>
      </c>
      <c r="U27" s="488">
        <f t="shared" si="9"/>
        <v>0</v>
      </c>
      <c r="V27" s="488">
        <f t="shared" si="38"/>
        <v>0</v>
      </c>
      <c r="W27" s="471">
        <f t="shared" si="10"/>
        <v>0</v>
      </c>
      <c r="X27" s="471">
        <f t="shared" si="11"/>
        <v>0</v>
      </c>
      <c r="Y27" s="470"/>
      <c r="Z27" s="470"/>
      <c r="AA27" s="469"/>
      <c r="AB27" s="475">
        <f t="shared" si="18"/>
        <v>0</v>
      </c>
      <c r="AC27" s="475">
        <f t="shared" si="19"/>
        <v>0</v>
      </c>
      <c r="AD27" s="475">
        <f t="shared" si="20"/>
        <v>0</v>
      </c>
      <c r="AE27" s="475">
        <f t="shared" si="21"/>
        <v>0</v>
      </c>
      <c r="AF27" s="476">
        <f t="shared" si="22"/>
        <v>0</v>
      </c>
      <c r="AG27" s="475">
        <f t="shared" si="23"/>
        <v>0</v>
      </c>
      <c r="AH27" s="476">
        <f t="shared" si="24"/>
        <v>0</v>
      </c>
      <c r="AI27" s="475">
        <f t="shared" si="25"/>
        <v>0</v>
      </c>
      <c r="AJ27" s="477">
        <f>IF((D27&lt;&gt;""),VLOOKUP(D27,Données!$E$36:$H$59,4,FALSE),)</f>
        <v>0</v>
      </c>
      <c r="AK27" s="477">
        <f t="shared" si="27"/>
        <v>0</v>
      </c>
      <c r="AL27" s="478">
        <f t="shared" si="28"/>
        <v>0</v>
      </c>
      <c r="AM27" s="479">
        <f t="shared" si="29"/>
        <v>0</v>
      </c>
      <c r="AN27" s="480">
        <f t="shared" si="12"/>
        <v>0</v>
      </c>
      <c r="AO27" s="477">
        <f t="shared" si="13"/>
        <v>0</v>
      </c>
      <c r="AP27" s="481">
        <f t="shared" si="30"/>
        <v>0</v>
      </c>
      <c r="AQ27" s="481">
        <f t="shared" si="31"/>
        <v>0</v>
      </c>
      <c r="AR27" s="481">
        <f t="shared" si="32"/>
        <v>0</v>
      </c>
      <c r="AS27" s="481">
        <f t="shared" si="33"/>
        <v>0</v>
      </c>
      <c r="AT27" s="479">
        <f t="shared" si="14"/>
        <v>0</v>
      </c>
      <c r="AU27" s="479">
        <f t="shared" si="15"/>
        <v>0</v>
      </c>
      <c r="AV27" s="471">
        <f>IF(Données!$H$8="x",AW27,AX27)</f>
        <v>4.7499999999999982</v>
      </c>
      <c r="AW27" s="471">
        <f t="shared" si="2"/>
        <v>2.3749999999999991</v>
      </c>
      <c r="AX27" s="471">
        <f t="shared" si="39"/>
        <v>4.7499999999999982</v>
      </c>
      <c r="AY27" s="467" t="str">
        <f t="shared" si="17"/>
        <v>Me</v>
      </c>
      <c r="AZ27" s="7">
        <f>IF((S39="M7bis")*AND(S40&lt;&gt;""),VLOOKUP(S40,Échelle!$BY$5:$BZ$31,2),)</f>
        <v>0</v>
      </c>
      <c r="BA27" s="4" t="s">
        <v>20</v>
      </c>
      <c r="BB27" s="148"/>
    </row>
    <row r="28" spans="2:54" x14ac:dyDescent="0.2">
      <c r="B28" s="467" t="s">
        <v>180</v>
      </c>
      <c r="C28" s="468" t="s">
        <v>529</v>
      </c>
      <c r="D28" s="469"/>
      <c r="E28" s="469"/>
      <c r="F28" s="470"/>
      <c r="G28" s="470"/>
      <c r="H28" s="470"/>
      <c r="I28" s="470"/>
      <c r="J28" s="487"/>
      <c r="K28" s="487"/>
      <c r="L28" s="471">
        <f t="shared" si="0"/>
        <v>0</v>
      </c>
      <c r="M28" s="471">
        <f t="shared" si="26"/>
        <v>0</v>
      </c>
      <c r="N28" s="488">
        <f>IF(Août!$H$48="x",AV28+Août!$N$37,AV28)</f>
        <v>5.0666666666666647</v>
      </c>
      <c r="O28" s="483" t="str">
        <f t="shared" si="3"/>
        <v>-</v>
      </c>
      <c r="P28" s="489">
        <f t="shared" si="4"/>
        <v>5.0666666666666647</v>
      </c>
      <c r="Q28" s="474">
        <f t="shared" si="5"/>
        <v>0</v>
      </c>
      <c r="R28" s="474">
        <f t="shared" si="6"/>
        <v>0</v>
      </c>
      <c r="S28" s="474">
        <f t="shared" si="7"/>
        <v>0</v>
      </c>
      <c r="T28" s="474">
        <f t="shared" si="8"/>
        <v>0</v>
      </c>
      <c r="U28" s="488">
        <f t="shared" si="9"/>
        <v>0</v>
      </c>
      <c r="V28" s="488">
        <f t="shared" si="38"/>
        <v>0</v>
      </c>
      <c r="W28" s="471">
        <f t="shared" si="10"/>
        <v>0</v>
      </c>
      <c r="X28" s="471">
        <f t="shared" si="11"/>
        <v>0</v>
      </c>
      <c r="Y28" s="470"/>
      <c r="Z28" s="470"/>
      <c r="AA28" s="469"/>
      <c r="AB28" s="475">
        <f t="shared" si="18"/>
        <v>0</v>
      </c>
      <c r="AC28" s="475">
        <f t="shared" si="19"/>
        <v>0</v>
      </c>
      <c r="AD28" s="475">
        <f t="shared" si="20"/>
        <v>0</v>
      </c>
      <c r="AE28" s="475">
        <f t="shared" si="21"/>
        <v>0</v>
      </c>
      <c r="AF28" s="476">
        <f t="shared" si="22"/>
        <v>0</v>
      </c>
      <c r="AG28" s="475">
        <f t="shared" si="23"/>
        <v>0</v>
      </c>
      <c r="AH28" s="476">
        <f t="shared" si="24"/>
        <v>0</v>
      </c>
      <c r="AI28" s="475">
        <f t="shared" si="25"/>
        <v>0</v>
      </c>
      <c r="AJ28" s="477">
        <f>IF((D28&lt;&gt;""),VLOOKUP(D28,Données!$E$36:$H$59,4,FALSE),)</f>
        <v>0</v>
      </c>
      <c r="AK28" s="477">
        <f t="shared" si="27"/>
        <v>0</v>
      </c>
      <c r="AL28" s="478">
        <f t="shared" si="28"/>
        <v>0</v>
      </c>
      <c r="AM28" s="479">
        <f t="shared" si="29"/>
        <v>0</v>
      </c>
      <c r="AN28" s="480">
        <f t="shared" si="12"/>
        <v>0</v>
      </c>
      <c r="AO28" s="477">
        <f t="shared" si="13"/>
        <v>0</v>
      </c>
      <c r="AP28" s="481">
        <f t="shared" si="30"/>
        <v>0</v>
      </c>
      <c r="AQ28" s="481">
        <f t="shared" si="31"/>
        <v>0</v>
      </c>
      <c r="AR28" s="481">
        <f t="shared" si="32"/>
        <v>0</v>
      </c>
      <c r="AS28" s="481">
        <f t="shared" si="33"/>
        <v>0</v>
      </c>
      <c r="AT28" s="479">
        <f t="shared" si="14"/>
        <v>0</v>
      </c>
      <c r="AU28" s="479">
        <f t="shared" si="15"/>
        <v>0</v>
      </c>
      <c r="AV28" s="471">
        <f>IF(Données!$H$8="x",AW28,AX28)</f>
        <v>5.0666666666666647</v>
      </c>
      <c r="AW28" s="471">
        <f t="shared" si="2"/>
        <v>2.5333333333333323</v>
      </c>
      <c r="AX28" s="471">
        <f t="shared" si="39"/>
        <v>5.0666666666666647</v>
      </c>
      <c r="AY28" s="467" t="str">
        <f t="shared" si="17"/>
        <v>Je</v>
      </c>
      <c r="AZ28" s="7">
        <f>IF((S39="O1")*AND(S40&lt;&gt;""),VLOOKUP(S40,Échelle!$Q$39:$R$65,2),)</f>
        <v>0</v>
      </c>
      <c r="BA28" s="4" t="s">
        <v>22</v>
      </c>
      <c r="BB28" s="148"/>
    </row>
    <row r="29" spans="2:54" x14ac:dyDescent="0.2">
      <c r="B29" s="467" t="s">
        <v>182</v>
      </c>
      <c r="C29" s="468" t="s">
        <v>530</v>
      </c>
      <c r="D29" s="469"/>
      <c r="E29" s="469"/>
      <c r="F29" s="470"/>
      <c r="G29" s="470"/>
      <c r="H29" s="470"/>
      <c r="I29" s="470"/>
      <c r="J29" s="487"/>
      <c r="K29" s="487"/>
      <c r="L29" s="471">
        <f t="shared" si="0"/>
        <v>0</v>
      </c>
      <c r="M29" s="471">
        <f>M28+L29</f>
        <v>0</v>
      </c>
      <c r="N29" s="488">
        <f>IF(Août!$H$48="x",AV29+Août!$N$37,AV29)</f>
        <v>5.3833333333333311</v>
      </c>
      <c r="O29" s="483" t="str">
        <f t="shared" si="3"/>
        <v>-</v>
      </c>
      <c r="P29" s="489">
        <f t="shared" si="4"/>
        <v>5.3833333333333311</v>
      </c>
      <c r="Q29" s="474">
        <f t="shared" si="5"/>
        <v>0</v>
      </c>
      <c r="R29" s="474">
        <f t="shared" si="6"/>
        <v>0</v>
      </c>
      <c r="S29" s="474">
        <f t="shared" si="7"/>
        <v>0</v>
      </c>
      <c r="T29" s="474">
        <f t="shared" si="8"/>
        <v>0</v>
      </c>
      <c r="U29" s="488">
        <f t="shared" si="9"/>
        <v>0</v>
      </c>
      <c r="V29" s="488">
        <f t="shared" si="38"/>
        <v>0</v>
      </c>
      <c r="W29" s="471">
        <f t="shared" si="10"/>
        <v>0</v>
      </c>
      <c r="X29" s="471">
        <f t="shared" si="11"/>
        <v>0</v>
      </c>
      <c r="Y29" s="470"/>
      <c r="Z29" s="470"/>
      <c r="AA29" s="469"/>
      <c r="AB29" s="475">
        <f t="shared" si="18"/>
        <v>0</v>
      </c>
      <c r="AC29" s="475">
        <f t="shared" si="19"/>
        <v>0</v>
      </c>
      <c r="AD29" s="475">
        <f t="shared" si="20"/>
        <v>0</v>
      </c>
      <c r="AE29" s="475">
        <f t="shared" si="21"/>
        <v>0</v>
      </c>
      <c r="AF29" s="476">
        <f t="shared" si="22"/>
        <v>0</v>
      </c>
      <c r="AG29" s="475">
        <f t="shared" si="23"/>
        <v>0</v>
      </c>
      <c r="AH29" s="476">
        <f t="shared" si="24"/>
        <v>0</v>
      </c>
      <c r="AI29" s="475">
        <f t="shared" si="25"/>
        <v>0</v>
      </c>
      <c r="AJ29" s="477">
        <f>IF((D29&lt;&gt;""),VLOOKUP(D29,Données!$E$36:$H$59,4,FALSE),)</f>
        <v>0</v>
      </c>
      <c r="AK29" s="477">
        <f t="shared" si="27"/>
        <v>0</v>
      </c>
      <c r="AL29" s="478">
        <f t="shared" si="28"/>
        <v>0</v>
      </c>
      <c r="AM29" s="479">
        <f t="shared" si="29"/>
        <v>0</v>
      </c>
      <c r="AN29" s="480">
        <f t="shared" si="12"/>
        <v>0</v>
      </c>
      <c r="AO29" s="477">
        <f t="shared" si="13"/>
        <v>0</v>
      </c>
      <c r="AP29" s="481">
        <f t="shared" si="30"/>
        <v>0</v>
      </c>
      <c r="AQ29" s="481">
        <f t="shared" si="31"/>
        <v>0</v>
      </c>
      <c r="AR29" s="481">
        <f t="shared" si="32"/>
        <v>0</v>
      </c>
      <c r="AS29" s="481">
        <f t="shared" si="33"/>
        <v>0</v>
      </c>
      <c r="AT29" s="479">
        <f t="shared" si="14"/>
        <v>0</v>
      </c>
      <c r="AU29" s="479">
        <f t="shared" si="15"/>
        <v>0</v>
      </c>
      <c r="AV29" s="471">
        <f>IF(Données!$H$8="x",AW29,AX29)</f>
        <v>5.3833333333333311</v>
      </c>
      <c r="AW29" s="471">
        <f t="shared" si="2"/>
        <v>2.6916666666666655</v>
      </c>
      <c r="AX29" s="471">
        <f t="shared" si="39"/>
        <v>5.3833333333333311</v>
      </c>
      <c r="AY29" s="467" t="str">
        <f t="shared" si="17"/>
        <v>Ve</v>
      </c>
      <c r="AZ29" s="7">
        <f>IF((S39="O2")*AND(S40&lt;&gt;""),VLOOKUP(S40,Échelle!$T$39:$U$65,2),)</f>
        <v>0</v>
      </c>
      <c r="BA29" s="4" t="s">
        <v>23</v>
      </c>
      <c r="BB29" s="148"/>
    </row>
    <row r="30" spans="2:54" x14ac:dyDescent="0.2">
      <c r="B30" s="403" t="s">
        <v>184</v>
      </c>
      <c r="C30" s="412" t="s">
        <v>531</v>
      </c>
      <c r="D30" s="411"/>
      <c r="E30" s="411"/>
      <c r="F30" s="401"/>
      <c r="G30" s="401"/>
      <c r="H30" s="401"/>
      <c r="I30" s="401"/>
      <c r="J30" s="406"/>
      <c r="K30" s="406"/>
      <c r="L30" s="402">
        <f>(G30-F30)+(I30-H30)+(K30-J30)</f>
        <v>0</v>
      </c>
      <c r="M30" s="402">
        <f>M29+L30</f>
        <v>0</v>
      </c>
      <c r="N30" s="407">
        <f>IF(Août!$H$48="x",AV30+Août!$N$37,AV30)</f>
        <v>5.3833333333333311</v>
      </c>
      <c r="O30" s="408" t="str">
        <f t="shared" si="3"/>
        <v>-</v>
      </c>
      <c r="P30" s="409">
        <f t="shared" si="4"/>
        <v>5.3833333333333311</v>
      </c>
      <c r="Q30" s="410">
        <f t="shared" si="5"/>
        <v>0</v>
      </c>
      <c r="R30" s="410">
        <f t="shared" si="6"/>
        <v>0</v>
      </c>
      <c r="S30" s="410">
        <f t="shared" si="7"/>
        <v>0</v>
      </c>
      <c r="T30" s="410">
        <f t="shared" si="8"/>
        <v>0</v>
      </c>
      <c r="U30" s="407">
        <f t="shared" si="9"/>
        <v>0</v>
      </c>
      <c r="V30" s="407">
        <f>L30</f>
        <v>0</v>
      </c>
      <c r="W30" s="402">
        <f t="shared" si="10"/>
        <v>0</v>
      </c>
      <c r="X30" s="402">
        <f t="shared" si="11"/>
        <v>0</v>
      </c>
      <c r="Y30" s="401"/>
      <c r="Z30" s="401"/>
      <c r="AA30" s="411"/>
      <c r="AB30" s="420">
        <f t="shared" si="18"/>
        <v>0</v>
      </c>
      <c r="AC30" s="420">
        <f t="shared" si="19"/>
        <v>0</v>
      </c>
      <c r="AD30" s="420">
        <f t="shared" si="20"/>
        <v>0</v>
      </c>
      <c r="AE30" s="420">
        <f t="shared" si="21"/>
        <v>0</v>
      </c>
      <c r="AF30" s="421">
        <f t="shared" si="22"/>
        <v>0</v>
      </c>
      <c r="AG30" s="420">
        <f t="shared" si="23"/>
        <v>0</v>
      </c>
      <c r="AH30" s="421">
        <f t="shared" si="24"/>
        <v>0</v>
      </c>
      <c r="AI30" s="420">
        <f t="shared" si="25"/>
        <v>0</v>
      </c>
      <c r="AJ30" s="422">
        <f>IF((D30&lt;&gt;""),VLOOKUP(D30,Données!$E$36:$H$59,4,FALSE),)</f>
        <v>0</v>
      </c>
      <c r="AK30" s="422">
        <f t="shared" si="27"/>
        <v>0</v>
      </c>
      <c r="AL30" s="423">
        <f t="shared" si="28"/>
        <v>0</v>
      </c>
      <c r="AM30" s="424">
        <f t="shared" si="29"/>
        <v>0</v>
      </c>
      <c r="AN30" s="425">
        <f t="shared" si="12"/>
        <v>0</v>
      </c>
      <c r="AO30" s="422">
        <f t="shared" si="13"/>
        <v>0</v>
      </c>
      <c r="AP30" s="426">
        <f t="shared" si="30"/>
        <v>0</v>
      </c>
      <c r="AQ30" s="426">
        <f t="shared" si="31"/>
        <v>0</v>
      </c>
      <c r="AR30" s="426">
        <f t="shared" si="32"/>
        <v>0</v>
      </c>
      <c r="AS30" s="426">
        <f t="shared" si="33"/>
        <v>0</v>
      </c>
      <c r="AT30" s="424">
        <f t="shared" si="14"/>
        <v>0</v>
      </c>
      <c r="AU30" s="424">
        <f t="shared" si="15"/>
        <v>0</v>
      </c>
      <c r="AV30" s="402">
        <f>IF(Données!$H$8="x",AW30,AX30)</f>
        <v>5.3833333333333311</v>
      </c>
      <c r="AW30" s="402">
        <f t="shared" si="2"/>
        <v>2.6916666666666655</v>
      </c>
      <c r="AX30" s="402">
        <f>AX29</f>
        <v>5.3833333333333311</v>
      </c>
      <c r="AY30" s="403" t="str">
        <f t="shared" si="17"/>
        <v>Sa</v>
      </c>
      <c r="AZ30" s="423">
        <f>IF((S39="O2ir")*AND(S40&lt;&gt;""),VLOOKUP(S40,Échelle!$AR$39:$AS$65,2),)</f>
        <v>0</v>
      </c>
      <c r="BA30" s="424" t="s">
        <v>31</v>
      </c>
      <c r="BB30" s="148"/>
    </row>
    <row r="31" spans="2:54" x14ac:dyDescent="0.2">
      <c r="B31" s="403" t="s">
        <v>186</v>
      </c>
      <c r="C31" s="412" t="s">
        <v>532</v>
      </c>
      <c r="D31" s="411"/>
      <c r="E31" s="411"/>
      <c r="F31" s="401"/>
      <c r="G31" s="401"/>
      <c r="H31" s="401"/>
      <c r="I31" s="401"/>
      <c r="J31" s="406"/>
      <c r="K31" s="406"/>
      <c r="L31" s="402">
        <f>(G31-F31)+(I31-H31)+(K31-J31)</f>
        <v>0</v>
      </c>
      <c r="M31" s="402">
        <f t="shared" si="26"/>
        <v>0</v>
      </c>
      <c r="N31" s="407">
        <f>IF(Août!$H$48="x",AV31+Août!$N$37,AV31)</f>
        <v>5.3833333333333311</v>
      </c>
      <c r="O31" s="408" t="str">
        <f t="shared" si="3"/>
        <v>-</v>
      </c>
      <c r="P31" s="409">
        <f t="shared" si="4"/>
        <v>5.3833333333333311</v>
      </c>
      <c r="Q31" s="410">
        <f t="shared" si="5"/>
        <v>0</v>
      </c>
      <c r="R31" s="410">
        <f t="shared" si="6"/>
        <v>0</v>
      </c>
      <c r="S31" s="410">
        <f t="shared" si="7"/>
        <v>0</v>
      </c>
      <c r="T31" s="410">
        <f t="shared" si="8"/>
        <v>0</v>
      </c>
      <c r="U31" s="407">
        <f t="shared" si="9"/>
        <v>0</v>
      </c>
      <c r="V31" s="407">
        <f>L31</f>
        <v>0</v>
      </c>
      <c r="W31" s="402">
        <f t="shared" si="10"/>
        <v>0</v>
      </c>
      <c r="X31" s="402">
        <f t="shared" si="11"/>
        <v>0</v>
      </c>
      <c r="Y31" s="401"/>
      <c r="Z31" s="401"/>
      <c r="AA31" s="411"/>
      <c r="AB31" s="420">
        <f t="shared" si="18"/>
        <v>0</v>
      </c>
      <c r="AC31" s="420">
        <f t="shared" si="19"/>
        <v>0</v>
      </c>
      <c r="AD31" s="420">
        <f t="shared" si="20"/>
        <v>0</v>
      </c>
      <c r="AE31" s="420">
        <f t="shared" si="21"/>
        <v>0</v>
      </c>
      <c r="AF31" s="421">
        <f t="shared" si="22"/>
        <v>0</v>
      </c>
      <c r="AG31" s="420">
        <f t="shared" si="23"/>
        <v>0</v>
      </c>
      <c r="AH31" s="421">
        <f t="shared" si="24"/>
        <v>0</v>
      </c>
      <c r="AI31" s="420">
        <f t="shared" si="25"/>
        <v>0</v>
      </c>
      <c r="AJ31" s="422">
        <f>IF((D31&lt;&gt;""),VLOOKUP(D31,Données!$E$36:$H$59,4,FALSE),)</f>
        <v>0</v>
      </c>
      <c r="AK31" s="422">
        <f t="shared" si="27"/>
        <v>0</v>
      </c>
      <c r="AL31" s="423">
        <f t="shared" si="28"/>
        <v>0</v>
      </c>
      <c r="AM31" s="424">
        <f t="shared" si="29"/>
        <v>0</v>
      </c>
      <c r="AN31" s="425">
        <f t="shared" si="12"/>
        <v>0</v>
      </c>
      <c r="AO31" s="422">
        <f t="shared" si="13"/>
        <v>0</v>
      </c>
      <c r="AP31" s="426">
        <f t="shared" si="30"/>
        <v>0</v>
      </c>
      <c r="AQ31" s="426">
        <f t="shared" si="31"/>
        <v>0</v>
      </c>
      <c r="AR31" s="426">
        <f t="shared" si="32"/>
        <v>0</v>
      </c>
      <c r="AS31" s="426">
        <f t="shared" si="33"/>
        <v>0</v>
      </c>
      <c r="AT31" s="424">
        <f t="shared" si="14"/>
        <v>0</v>
      </c>
      <c r="AU31" s="424">
        <f t="shared" si="15"/>
        <v>0</v>
      </c>
      <c r="AV31" s="402">
        <f>IF(Données!$H$8="x",AW31,AX31)</f>
        <v>5.3833333333333311</v>
      </c>
      <c r="AW31" s="402">
        <f t="shared" si="2"/>
        <v>2.6916666666666655</v>
      </c>
      <c r="AX31" s="402">
        <f>AX30</f>
        <v>5.3833333333333311</v>
      </c>
      <c r="AY31" s="403" t="str">
        <f t="shared" si="17"/>
        <v>Di</v>
      </c>
      <c r="AZ31" s="423">
        <f>IF((S39="O3")*AND(S40&lt;&gt;""),VLOOKUP(S40,Échelle!$W$39:$X$65,2),)</f>
        <v>0</v>
      </c>
      <c r="BA31" s="424" t="s">
        <v>24</v>
      </c>
      <c r="BB31" s="148"/>
    </row>
    <row r="32" spans="2:54" x14ac:dyDescent="0.2">
      <c r="B32" s="467" t="s">
        <v>188</v>
      </c>
      <c r="C32" s="468" t="s">
        <v>533</v>
      </c>
      <c r="D32" s="469"/>
      <c r="E32" s="469"/>
      <c r="F32" s="470"/>
      <c r="G32" s="470"/>
      <c r="H32" s="470"/>
      <c r="I32" s="470"/>
      <c r="J32" s="487"/>
      <c r="K32" s="487"/>
      <c r="L32" s="471">
        <f>(G32-F32)+(I32-H32)+(K32-J32)+AJ32+AO32</f>
        <v>0</v>
      </c>
      <c r="M32" s="471">
        <f t="shared" si="26"/>
        <v>0</v>
      </c>
      <c r="N32" s="488">
        <f>IF(Août!$H$48="x",AV32+Août!$N$37,AV32)</f>
        <v>5.6999999999999975</v>
      </c>
      <c r="O32" s="483" t="str">
        <f t="shared" si="3"/>
        <v>-</v>
      </c>
      <c r="P32" s="489">
        <f t="shared" si="4"/>
        <v>5.6999999999999975</v>
      </c>
      <c r="Q32" s="474">
        <f t="shared" si="5"/>
        <v>0</v>
      </c>
      <c r="R32" s="474">
        <f t="shared" si="6"/>
        <v>0</v>
      </c>
      <c r="S32" s="474">
        <f t="shared" si="7"/>
        <v>0</v>
      </c>
      <c r="T32" s="474">
        <f t="shared" si="8"/>
        <v>0</v>
      </c>
      <c r="U32" s="488">
        <f t="shared" si="9"/>
        <v>0</v>
      </c>
      <c r="V32" s="471">
        <f>IF(D32="F",L32,0)</f>
        <v>0</v>
      </c>
      <c r="W32" s="471">
        <f t="shared" si="10"/>
        <v>0</v>
      </c>
      <c r="X32" s="471">
        <f t="shared" si="11"/>
        <v>0</v>
      </c>
      <c r="Y32" s="470"/>
      <c r="Z32" s="470"/>
      <c r="AA32" s="469"/>
      <c r="AB32" s="475">
        <f t="shared" si="18"/>
        <v>0</v>
      </c>
      <c r="AC32" s="475">
        <f t="shared" si="19"/>
        <v>0</v>
      </c>
      <c r="AD32" s="475">
        <f t="shared" si="20"/>
        <v>0</v>
      </c>
      <c r="AE32" s="475">
        <f t="shared" si="21"/>
        <v>0</v>
      </c>
      <c r="AF32" s="476">
        <f t="shared" si="22"/>
        <v>0</v>
      </c>
      <c r="AG32" s="475">
        <f t="shared" si="23"/>
        <v>0</v>
      </c>
      <c r="AH32" s="476">
        <f t="shared" si="24"/>
        <v>0</v>
      </c>
      <c r="AI32" s="475">
        <f t="shared" si="25"/>
        <v>0</v>
      </c>
      <c r="AJ32" s="477">
        <f>IF((D32&lt;&gt;""),VLOOKUP(D32,Données!$E$36:$H$59,4,FALSE),)</f>
        <v>0</v>
      </c>
      <c r="AK32" s="477">
        <f t="shared" si="27"/>
        <v>0</v>
      </c>
      <c r="AL32" s="478">
        <f t="shared" si="28"/>
        <v>0</v>
      </c>
      <c r="AM32" s="479">
        <f t="shared" si="29"/>
        <v>0</v>
      </c>
      <c r="AN32" s="480">
        <f t="shared" si="12"/>
        <v>0</v>
      </c>
      <c r="AO32" s="477">
        <f t="shared" si="13"/>
        <v>0</v>
      </c>
      <c r="AP32" s="481">
        <f t="shared" si="30"/>
        <v>0</v>
      </c>
      <c r="AQ32" s="481">
        <f t="shared" si="31"/>
        <v>0</v>
      </c>
      <c r="AR32" s="481">
        <f t="shared" si="32"/>
        <v>0</v>
      </c>
      <c r="AS32" s="481">
        <f t="shared" si="33"/>
        <v>0</v>
      </c>
      <c r="AT32" s="479">
        <f t="shared" si="14"/>
        <v>0</v>
      </c>
      <c r="AU32" s="479">
        <f t="shared" si="15"/>
        <v>0</v>
      </c>
      <c r="AV32" s="471">
        <f>IF(Données!$H$8="x",AW32,AX32)</f>
        <v>5.6999999999999975</v>
      </c>
      <c r="AW32" s="471">
        <f t="shared" si="2"/>
        <v>2.8499999999999988</v>
      </c>
      <c r="AX32" s="471">
        <f>IF(D32="V",AX31,(AX31+"07:36"))</f>
        <v>5.6999999999999975</v>
      </c>
      <c r="AY32" s="467" t="str">
        <f t="shared" si="17"/>
        <v>Lu</v>
      </c>
      <c r="AZ32" s="7">
        <f>IF((S39="O3ir")*AND(S40&lt;&gt;""),VLOOKUP(S40,Échelle!$AU$39:$AV$65,2),)</f>
        <v>0</v>
      </c>
      <c r="BA32" s="4" t="s">
        <v>32</v>
      </c>
      <c r="BB32" s="148"/>
    </row>
    <row r="33" spans="2:54" x14ac:dyDescent="0.2">
      <c r="B33" s="467" t="s">
        <v>176</v>
      </c>
      <c r="C33" s="468" t="s">
        <v>534</v>
      </c>
      <c r="D33" s="469"/>
      <c r="E33" s="469"/>
      <c r="F33" s="470"/>
      <c r="G33" s="470"/>
      <c r="H33" s="470"/>
      <c r="I33" s="470"/>
      <c r="J33" s="487"/>
      <c r="K33" s="487"/>
      <c r="L33" s="471">
        <f>(G33-F33)+(I33-H33)+(K33-J33)+AJ33+AO33</f>
        <v>0</v>
      </c>
      <c r="M33" s="471">
        <f t="shared" si="26"/>
        <v>0</v>
      </c>
      <c r="N33" s="488">
        <f>IF(Août!$H$48="x",AV33+Août!$N$37,AV33)</f>
        <v>6.0166666666666639</v>
      </c>
      <c r="O33" s="483" t="str">
        <f t="shared" si="3"/>
        <v>-</v>
      </c>
      <c r="P33" s="489">
        <f t="shared" si="4"/>
        <v>6.0166666666666639</v>
      </c>
      <c r="Q33" s="474">
        <f t="shared" si="5"/>
        <v>0</v>
      </c>
      <c r="R33" s="474">
        <f t="shared" si="6"/>
        <v>0</v>
      </c>
      <c r="S33" s="474">
        <f t="shared" si="7"/>
        <v>0</v>
      </c>
      <c r="T33" s="474">
        <f t="shared" si="8"/>
        <v>0</v>
      </c>
      <c r="U33" s="488">
        <f t="shared" si="9"/>
        <v>0</v>
      </c>
      <c r="V33" s="471">
        <f>IF(D33="F",L33,0)</f>
        <v>0</v>
      </c>
      <c r="W33" s="471">
        <f t="shared" si="10"/>
        <v>0</v>
      </c>
      <c r="X33" s="471">
        <f t="shared" si="11"/>
        <v>0</v>
      </c>
      <c r="Y33" s="470"/>
      <c r="Z33" s="470"/>
      <c r="AA33" s="469"/>
      <c r="AB33" s="475">
        <f t="shared" si="18"/>
        <v>0</v>
      </c>
      <c r="AC33" s="475">
        <f t="shared" si="19"/>
        <v>0</v>
      </c>
      <c r="AD33" s="475">
        <f t="shared" si="20"/>
        <v>0</v>
      </c>
      <c r="AE33" s="475">
        <f t="shared" si="21"/>
        <v>0</v>
      </c>
      <c r="AF33" s="476">
        <f t="shared" si="22"/>
        <v>0</v>
      </c>
      <c r="AG33" s="475">
        <f t="shared" si="23"/>
        <v>0</v>
      </c>
      <c r="AH33" s="476">
        <f t="shared" si="24"/>
        <v>0</v>
      </c>
      <c r="AI33" s="475">
        <f t="shared" si="25"/>
        <v>0</v>
      </c>
      <c r="AJ33" s="477">
        <f>IF((D33&lt;&gt;""),VLOOKUP(D33,Données!$E$36:$H$59,4,FALSE),)</f>
        <v>0</v>
      </c>
      <c r="AK33" s="477">
        <f t="shared" si="27"/>
        <v>0</v>
      </c>
      <c r="AL33" s="478">
        <f t="shared" si="28"/>
        <v>0</v>
      </c>
      <c r="AM33" s="479">
        <f t="shared" si="29"/>
        <v>0</v>
      </c>
      <c r="AN33" s="480">
        <f t="shared" si="12"/>
        <v>0</v>
      </c>
      <c r="AO33" s="477">
        <f t="shared" si="13"/>
        <v>0</v>
      </c>
      <c r="AP33" s="481">
        <f t="shared" si="30"/>
        <v>0</v>
      </c>
      <c r="AQ33" s="481">
        <f t="shared" si="31"/>
        <v>0</v>
      </c>
      <c r="AR33" s="481">
        <f t="shared" si="32"/>
        <v>0</v>
      </c>
      <c r="AS33" s="481">
        <f t="shared" si="33"/>
        <v>0</v>
      </c>
      <c r="AT33" s="479">
        <f t="shared" si="14"/>
        <v>0</v>
      </c>
      <c r="AU33" s="479">
        <f t="shared" si="15"/>
        <v>0</v>
      </c>
      <c r="AV33" s="471">
        <f>IF(Données!$H$8="x",AW33,AX33)</f>
        <v>6.0166666666666639</v>
      </c>
      <c r="AW33" s="471">
        <f t="shared" si="2"/>
        <v>3.008333333333332</v>
      </c>
      <c r="AX33" s="471">
        <f>IF(D33="V",AX32,(AX32+"07:36"))</f>
        <v>6.0166666666666639</v>
      </c>
      <c r="AY33" s="467" t="str">
        <f t="shared" si="17"/>
        <v>Ma</v>
      </c>
      <c r="AZ33" s="7">
        <f>IF((S39="O4")*AND(S40&lt;&gt;""),VLOOKUP(S40,Échelle!$Z$39:$AA$65,2),)</f>
        <v>0</v>
      </c>
      <c r="BA33" s="4" t="s">
        <v>25</v>
      </c>
      <c r="BB33" s="148"/>
    </row>
    <row r="34" spans="2:54" x14ac:dyDescent="0.2">
      <c r="B34" s="467" t="s">
        <v>178</v>
      </c>
      <c r="C34" s="468" t="s">
        <v>535</v>
      </c>
      <c r="D34" s="469"/>
      <c r="E34" s="469"/>
      <c r="F34" s="470"/>
      <c r="G34" s="470"/>
      <c r="H34" s="470"/>
      <c r="I34" s="470"/>
      <c r="J34" s="487"/>
      <c r="K34" s="487"/>
      <c r="L34" s="471">
        <f>(G34-F34)+(I34-H34)+(K34-J34)+AJ34+AO34</f>
        <v>0</v>
      </c>
      <c r="M34" s="471">
        <f t="shared" si="26"/>
        <v>0</v>
      </c>
      <c r="N34" s="488">
        <f>IF(Août!$H$48="x",AV34+Août!$N$37,AV34)</f>
        <v>6.3333333333333304</v>
      </c>
      <c r="O34" s="483" t="str">
        <f t="shared" si="3"/>
        <v>-</v>
      </c>
      <c r="P34" s="489">
        <f t="shared" si="4"/>
        <v>6.3333333333333304</v>
      </c>
      <c r="Q34" s="474">
        <f t="shared" si="5"/>
        <v>0</v>
      </c>
      <c r="R34" s="474">
        <f t="shared" si="6"/>
        <v>0</v>
      </c>
      <c r="S34" s="474">
        <f t="shared" si="7"/>
        <v>0</v>
      </c>
      <c r="T34" s="474">
        <f t="shared" si="8"/>
        <v>0</v>
      </c>
      <c r="U34" s="488">
        <f t="shared" si="9"/>
        <v>0</v>
      </c>
      <c r="V34" s="471">
        <f>IF(D34="F",L34,0)</f>
        <v>0</v>
      </c>
      <c r="W34" s="471">
        <f t="shared" si="10"/>
        <v>0</v>
      </c>
      <c r="X34" s="471">
        <f t="shared" si="11"/>
        <v>0</v>
      </c>
      <c r="Y34" s="470"/>
      <c r="Z34" s="470"/>
      <c r="AA34" s="469"/>
      <c r="AB34" s="475">
        <f t="shared" si="18"/>
        <v>0</v>
      </c>
      <c r="AC34" s="475">
        <f t="shared" si="19"/>
        <v>0</v>
      </c>
      <c r="AD34" s="475">
        <f t="shared" si="20"/>
        <v>0</v>
      </c>
      <c r="AE34" s="475">
        <f t="shared" si="21"/>
        <v>0</v>
      </c>
      <c r="AF34" s="476">
        <f t="shared" si="22"/>
        <v>0</v>
      </c>
      <c r="AG34" s="475">
        <f t="shared" si="23"/>
        <v>0</v>
      </c>
      <c r="AH34" s="476">
        <f t="shared" si="24"/>
        <v>0</v>
      </c>
      <c r="AI34" s="475">
        <f t="shared" si="25"/>
        <v>0</v>
      </c>
      <c r="AJ34" s="477">
        <f>IF((D34&lt;&gt;""),VLOOKUP(D34,Données!$E$36:$H$59,4,FALSE),)</f>
        <v>0</v>
      </c>
      <c r="AK34" s="477">
        <f t="shared" si="27"/>
        <v>0</v>
      </c>
      <c r="AL34" s="478">
        <f t="shared" si="28"/>
        <v>0</v>
      </c>
      <c r="AM34" s="479">
        <f t="shared" si="29"/>
        <v>0</v>
      </c>
      <c r="AN34" s="480">
        <f t="shared" si="12"/>
        <v>0</v>
      </c>
      <c r="AO34" s="477">
        <f t="shared" si="13"/>
        <v>0</v>
      </c>
      <c r="AP34" s="481">
        <f t="shared" si="30"/>
        <v>0</v>
      </c>
      <c r="AQ34" s="481">
        <f t="shared" si="31"/>
        <v>0</v>
      </c>
      <c r="AR34" s="481">
        <f t="shared" si="32"/>
        <v>0</v>
      </c>
      <c r="AS34" s="481">
        <f t="shared" si="33"/>
        <v>0</v>
      </c>
      <c r="AT34" s="479">
        <f t="shared" si="14"/>
        <v>0</v>
      </c>
      <c r="AU34" s="479">
        <f t="shared" si="15"/>
        <v>0</v>
      </c>
      <c r="AV34" s="471">
        <f>IF(Données!$H$8="x",AW34,AX34)</f>
        <v>6.3333333333333304</v>
      </c>
      <c r="AW34" s="471">
        <f t="shared" si="2"/>
        <v>3.1666666666666652</v>
      </c>
      <c r="AX34" s="471">
        <f>IF(D34="V",AX33,(AX33+"07:36"))</f>
        <v>6.3333333333333304</v>
      </c>
      <c r="AY34" s="467" t="str">
        <f t="shared" si="17"/>
        <v>Me</v>
      </c>
      <c r="AZ34" s="7">
        <f>IF((S39="O4bis")*AND(S40&lt;&gt;""),VLOOKUP(S40,Échelle!$BG$39:$BH$65,2),)</f>
        <v>0</v>
      </c>
      <c r="BA34" s="4" t="s">
        <v>36</v>
      </c>
      <c r="BB34" s="148"/>
    </row>
    <row r="35" spans="2:54" x14ac:dyDescent="0.2">
      <c r="B35" s="467" t="s">
        <v>180</v>
      </c>
      <c r="C35" s="468" t="s">
        <v>536</v>
      </c>
      <c r="D35" s="469"/>
      <c r="E35" s="469"/>
      <c r="F35" s="470"/>
      <c r="G35" s="470"/>
      <c r="H35" s="470"/>
      <c r="I35" s="470"/>
      <c r="J35" s="487"/>
      <c r="K35" s="487"/>
      <c r="L35" s="471">
        <f>(G35-F35)+(I35-H35)+(K35-J35)+AJ35+AO35</f>
        <v>0</v>
      </c>
      <c r="M35" s="471">
        <f t="shared" si="26"/>
        <v>0</v>
      </c>
      <c r="N35" s="488">
        <f>IF(Août!$H$48="x",AV35+Août!$N$37,AV35)</f>
        <v>6.6499999999999968</v>
      </c>
      <c r="O35" s="483" t="str">
        <f t="shared" si="3"/>
        <v>-</v>
      </c>
      <c r="P35" s="489">
        <f t="shared" si="4"/>
        <v>6.6499999999999968</v>
      </c>
      <c r="Q35" s="474">
        <f t="shared" si="5"/>
        <v>0</v>
      </c>
      <c r="R35" s="474">
        <f t="shared" si="6"/>
        <v>0</v>
      </c>
      <c r="S35" s="474">
        <f t="shared" si="7"/>
        <v>0</v>
      </c>
      <c r="T35" s="474">
        <f t="shared" si="8"/>
        <v>0</v>
      </c>
      <c r="U35" s="488">
        <f t="shared" si="9"/>
        <v>0</v>
      </c>
      <c r="V35" s="471">
        <f>IF(D35="F",L35,0)</f>
        <v>0</v>
      </c>
      <c r="W35" s="471">
        <f t="shared" si="10"/>
        <v>0</v>
      </c>
      <c r="X35" s="471">
        <f t="shared" si="11"/>
        <v>0</v>
      </c>
      <c r="Y35" s="470"/>
      <c r="Z35" s="470"/>
      <c r="AA35" s="469"/>
      <c r="AB35" s="475">
        <f t="shared" si="18"/>
        <v>0</v>
      </c>
      <c r="AC35" s="475">
        <f t="shared" si="19"/>
        <v>0</v>
      </c>
      <c r="AD35" s="475">
        <f t="shared" si="20"/>
        <v>0</v>
      </c>
      <c r="AE35" s="475">
        <f t="shared" si="21"/>
        <v>0</v>
      </c>
      <c r="AF35" s="476">
        <f t="shared" si="22"/>
        <v>0</v>
      </c>
      <c r="AG35" s="475">
        <f t="shared" si="23"/>
        <v>0</v>
      </c>
      <c r="AH35" s="476">
        <f t="shared" si="24"/>
        <v>0</v>
      </c>
      <c r="AI35" s="475">
        <f t="shared" si="25"/>
        <v>0</v>
      </c>
      <c r="AJ35" s="477">
        <f>IF((D35&lt;&gt;""),VLOOKUP(D35,Données!$E$36:$H$59,4,FALSE),)</f>
        <v>0</v>
      </c>
      <c r="AK35" s="477">
        <f t="shared" si="27"/>
        <v>0</v>
      </c>
      <c r="AL35" s="478">
        <f t="shared" si="28"/>
        <v>0</v>
      </c>
      <c r="AM35" s="479">
        <f t="shared" si="29"/>
        <v>0</v>
      </c>
      <c r="AN35" s="480">
        <f t="shared" si="12"/>
        <v>0</v>
      </c>
      <c r="AO35" s="477">
        <f t="shared" si="13"/>
        <v>0</v>
      </c>
      <c r="AP35" s="481">
        <f t="shared" si="30"/>
        <v>0</v>
      </c>
      <c r="AQ35" s="481">
        <f t="shared" si="31"/>
        <v>0</v>
      </c>
      <c r="AR35" s="481">
        <f t="shared" si="32"/>
        <v>0</v>
      </c>
      <c r="AS35" s="481">
        <f t="shared" si="33"/>
        <v>0</v>
      </c>
      <c r="AT35" s="479">
        <f t="shared" si="14"/>
        <v>0</v>
      </c>
      <c r="AU35" s="479">
        <f t="shared" si="15"/>
        <v>0</v>
      </c>
      <c r="AV35" s="471">
        <f>IF(Données!$H$8="x",AW35,AX35)</f>
        <v>6.6499999999999968</v>
      </c>
      <c r="AW35" s="471">
        <f t="shared" si="2"/>
        <v>3.3249999999999984</v>
      </c>
      <c r="AX35" s="471">
        <f>IF(D35="V",AX34,(AX34+"07:36"))</f>
        <v>6.6499999999999968</v>
      </c>
      <c r="AY35" s="467" t="str">
        <f t="shared" si="17"/>
        <v>Je</v>
      </c>
      <c r="AZ35" s="7">
        <f>IF((S39="O4bis-ir")*AND(S40&lt;&gt;""),VLOOKUP(S40,Échelle!$AO$39:$AP$65,2),)</f>
        <v>0</v>
      </c>
      <c r="BA35" s="4" t="s">
        <v>30</v>
      </c>
      <c r="BB35" s="148"/>
    </row>
    <row r="36" spans="2:54" x14ac:dyDescent="0.2">
      <c r="B36" s="467" t="s">
        <v>182</v>
      </c>
      <c r="C36" s="468" t="s">
        <v>537</v>
      </c>
      <c r="D36" s="469"/>
      <c r="E36" s="469"/>
      <c r="F36" s="470"/>
      <c r="G36" s="470"/>
      <c r="H36" s="470"/>
      <c r="I36" s="470"/>
      <c r="J36" s="487"/>
      <c r="K36" s="487"/>
      <c r="L36" s="471">
        <f>(G36-F36)+(I36-H36)+(K36-J36)+AJ36+AO36</f>
        <v>0</v>
      </c>
      <c r="M36" s="471">
        <f>M35+L36</f>
        <v>0</v>
      </c>
      <c r="N36" s="488">
        <f>IF(Août!$H$48="x",AV36+Août!$N$37,AV36)</f>
        <v>6.9666666666666632</v>
      </c>
      <c r="O36" s="483" t="str">
        <f t="shared" si="3"/>
        <v>-</v>
      </c>
      <c r="P36" s="489">
        <f t="shared" si="4"/>
        <v>6.9666666666666632</v>
      </c>
      <c r="Q36" s="474">
        <f t="shared" si="5"/>
        <v>0</v>
      </c>
      <c r="R36" s="474">
        <f t="shared" si="6"/>
        <v>0</v>
      </c>
      <c r="S36" s="474">
        <f t="shared" si="7"/>
        <v>0</v>
      </c>
      <c r="T36" s="474">
        <f t="shared" si="8"/>
        <v>0</v>
      </c>
      <c r="U36" s="488">
        <f t="shared" si="9"/>
        <v>0</v>
      </c>
      <c r="V36" s="471">
        <f>IF(D36="F",L36,0)</f>
        <v>0</v>
      </c>
      <c r="W36" s="471">
        <f t="shared" si="10"/>
        <v>0</v>
      </c>
      <c r="X36" s="471">
        <f t="shared" si="11"/>
        <v>0</v>
      </c>
      <c r="Y36" s="470"/>
      <c r="Z36" s="470"/>
      <c r="AA36" s="469"/>
      <c r="AB36" s="475">
        <f t="shared" si="18"/>
        <v>0</v>
      </c>
      <c r="AC36" s="475">
        <f t="shared" si="19"/>
        <v>0</v>
      </c>
      <c r="AD36" s="475">
        <f t="shared" si="20"/>
        <v>0</v>
      </c>
      <c r="AE36" s="475">
        <f t="shared" si="21"/>
        <v>0</v>
      </c>
      <c r="AF36" s="476">
        <f t="shared" si="22"/>
        <v>0</v>
      </c>
      <c r="AG36" s="475">
        <f t="shared" si="23"/>
        <v>0</v>
      </c>
      <c r="AH36" s="476">
        <f t="shared" si="24"/>
        <v>0</v>
      </c>
      <c r="AI36" s="475">
        <f t="shared" si="25"/>
        <v>0</v>
      </c>
      <c r="AJ36" s="477">
        <f>IF((D36&lt;&gt;""),VLOOKUP(D36,Données!$E$36:$H$59,4,FALSE),)</f>
        <v>0</v>
      </c>
      <c r="AK36" s="477">
        <f t="shared" si="27"/>
        <v>0</v>
      </c>
      <c r="AL36" s="478">
        <f t="shared" si="28"/>
        <v>0</v>
      </c>
      <c r="AM36" s="479">
        <f t="shared" si="29"/>
        <v>0</v>
      </c>
      <c r="AN36" s="480">
        <f t="shared" si="12"/>
        <v>0</v>
      </c>
      <c r="AO36" s="477">
        <f t="shared" si="13"/>
        <v>0</v>
      </c>
      <c r="AP36" s="481">
        <f t="shared" si="30"/>
        <v>0</v>
      </c>
      <c r="AQ36" s="481">
        <f t="shared" si="31"/>
        <v>0</v>
      </c>
      <c r="AR36" s="481">
        <f t="shared" si="32"/>
        <v>0</v>
      </c>
      <c r="AS36" s="481">
        <f t="shared" si="33"/>
        <v>0</v>
      </c>
      <c r="AT36" s="479">
        <f t="shared" si="14"/>
        <v>0</v>
      </c>
      <c r="AU36" s="479">
        <f t="shared" si="15"/>
        <v>0</v>
      </c>
      <c r="AV36" s="471">
        <f>IF(Données!$H$8="x",AW36,AX36)</f>
        <v>6.9666666666666632</v>
      </c>
      <c r="AW36" s="471">
        <f t="shared" si="2"/>
        <v>3.4833333333333316</v>
      </c>
      <c r="AX36" s="471">
        <f>IF(D36="V",AX35,(AX35+"07:36"))</f>
        <v>6.9666666666666632</v>
      </c>
      <c r="AY36" s="467" t="str">
        <f t="shared" si="17"/>
        <v>Ve</v>
      </c>
      <c r="AZ36" s="7">
        <f>IF((S39="O4ir")*AND(S40&lt;&gt;""),VLOOKUP(S40,Échelle!$AX$39:$AY$65,2),)</f>
        <v>0</v>
      </c>
      <c r="BA36" s="4" t="s">
        <v>33</v>
      </c>
      <c r="BB36" s="148"/>
    </row>
    <row r="37" spans="2:54" x14ac:dyDescent="0.2">
      <c r="AB37" s="200">
        <f t="shared" ref="AB37:AI37" si="40">SUM(AB7:AB36)</f>
        <v>0</v>
      </c>
      <c r="AC37" s="200">
        <f t="shared" si="40"/>
        <v>0</v>
      </c>
      <c r="AD37" s="200">
        <f t="shared" si="40"/>
        <v>0</v>
      </c>
      <c r="AE37" s="200">
        <f t="shared" si="40"/>
        <v>0</v>
      </c>
      <c r="AF37" s="200">
        <f t="shared" si="40"/>
        <v>0</v>
      </c>
      <c r="AG37" s="200">
        <f t="shared" si="40"/>
        <v>0</v>
      </c>
      <c r="AH37" s="200">
        <f t="shared" si="40"/>
        <v>0</v>
      </c>
      <c r="AI37" s="200">
        <f t="shared" si="40"/>
        <v>0</v>
      </c>
      <c r="AK37" s="200">
        <f>SUM(AK7:AK36)</f>
        <v>0</v>
      </c>
      <c r="AM37" s="4">
        <f>SUM(AM7:AM36)+AT37</f>
        <v>0</v>
      </c>
      <c r="AN37" s="39"/>
      <c r="AO37" s="7"/>
      <c r="AP37" s="4">
        <f>SUM(AP7:AP36)</f>
        <v>0</v>
      </c>
      <c r="AQ37" s="4">
        <f>SUM(AQ7:AQ36)</f>
        <v>0</v>
      </c>
      <c r="AR37" s="4">
        <f>SUM(AR7:AR36)</f>
        <v>0</v>
      </c>
      <c r="AS37" s="4">
        <f>SUM(AS7:AS36)</f>
        <v>0</v>
      </c>
      <c r="AT37" s="4">
        <f>SUM(AT7:AT36)</f>
        <v>0</v>
      </c>
      <c r="AU37" s="4">
        <f>SUM(AU7:AU36)+AT37</f>
        <v>0</v>
      </c>
      <c r="AV37" s="234"/>
      <c r="AW37" s="234"/>
      <c r="AZ37" s="7">
        <f>IF((S39="O5")*AND(S40&lt;&gt;""),VLOOKUP(S40,Échelle!$AC$39:$AD$65,2),)</f>
        <v>0</v>
      </c>
      <c r="BA37" s="4" t="s">
        <v>26</v>
      </c>
      <c r="BB37" s="4"/>
    </row>
    <row r="38" spans="2:54" x14ac:dyDescent="0.2">
      <c r="C38" s="35" t="s">
        <v>99</v>
      </c>
      <c r="D38" s="61"/>
      <c r="E38" s="61"/>
      <c r="F38" s="35"/>
      <c r="G38" s="35"/>
      <c r="H38" s="35"/>
      <c r="W38" s="361" t="s">
        <v>215</v>
      </c>
      <c r="X38" s="362"/>
      <c r="Z38" s="211" t="s">
        <v>216</v>
      </c>
      <c r="AA38" s="387" t="s">
        <v>217</v>
      </c>
      <c r="AB38" s="200">
        <f t="shared" ref="AB38:AI38" si="41">IF((MINUTE(AB37)&gt;=30),(AB37+0.041666667),AB37)</f>
        <v>0</v>
      </c>
      <c r="AC38" s="200">
        <f t="shared" si="41"/>
        <v>0</v>
      </c>
      <c r="AD38" s="200">
        <f t="shared" si="41"/>
        <v>0</v>
      </c>
      <c r="AE38" s="200">
        <f t="shared" si="41"/>
        <v>0</v>
      </c>
      <c r="AF38" s="200">
        <f t="shared" si="41"/>
        <v>0</v>
      </c>
      <c r="AG38" s="200">
        <f t="shared" si="41"/>
        <v>0</v>
      </c>
      <c r="AH38" s="200">
        <f t="shared" si="41"/>
        <v>0</v>
      </c>
      <c r="AI38" s="200">
        <f t="shared" si="41"/>
        <v>0</v>
      </c>
      <c r="AK38" s="200">
        <f>IF((MINUTE(AK37)&gt;=30),(AK37+0.041666667),AK37)</f>
        <v>0</v>
      </c>
      <c r="AM38" s="97">
        <f>AM37*(6.7*AA39)</f>
        <v>0</v>
      </c>
      <c r="AN38" s="39">
        <f>SUM(AN6:AN36)</f>
        <v>0</v>
      </c>
      <c r="AO38" s="7"/>
      <c r="AP38" s="4"/>
      <c r="AQ38" s="4"/>
      <c r="AR38" s="4"/>
      <c r="AS38" s="4"/>
      <c r="AW38" s="28"/>
      <c r="AZ38" s="7">
        <f>IF((S39="O5ir")*AND(S40&lt;&gt;""),VLOOKUP(S40,Échelle!$BA$39:$BB$65,2),)</f>
        <v>0</v>
      </c>
      <c r="BA38" s="4" t="s">
        <v>34</v>
      </c>
      <c r="BB38" s="4"/>
    </row>
    <row r="39" spans="2:54" x14ac:dyDescent="0.2">
      <c r="C39" s="62" t="s">
        <v>218</v>
      </c>
      <c r="D39" s="63"/>
      <c r="E39" s="63"/>
      <c r="F39" s="65"/>
      <c r="G39" s="64"/>
      <c r="H39" s="41">
        <f>Août!$H$45</f>
        <v>33</v>
      </c>
      <c r="J39" s="12" t="s">
        <v>538</v>
      </c>
      <c r="K39" s="13"/>
      <c r="L39" s="14"/>
      <c r="M39" s="13"/>
      <c r="N39" s="22"/>
      <c r="O39" s="14" t="s">
        <v>539</v>
      </c>
      <c r="P39" s="14"/>
      <c r="Q39" s="14"/>
      <c r="R39" s="24"/>
      <c r="S39" s="161" t="s">
        <v>14</v>
      </c>
      <c r="T39" s="359" t="s">
        <v>220</v>
      </c>
      <c r="U39" s="360"/>
      <c r="V39" s="360"/>
      <c r="W39" s="268">
        <v>1</v>
      </c>
      <c r="X39" s="267" t="s">
        <v>221</v>
      </c>
      <c r="Z39" s="214">
        <v>1.7758</v>
      </c>
      <c r="AA39" s="388">
        <f>Z39</f>
        <v>1.7758</v>
      </c>
      <c r="AB39" s="200">
        <f t="shared" ref="AB39:AI39" si="42">IF(MINUTE(AB38)&gt;0,FLOOR(AB38,0.041666667),AB38)</f>
        <v>0</v>
      </c>
      <c r="AC39" s="200">
        <f t="shared" si="42"/>
        <v>0</v>
      </c>
      <c r="AD39" s="200">
        <f t="shared" si="42"/>
        <v>0</v>
      </c>
      <c r="AE39" s="200">
        <f t="shared" si="42"/>
        <v>0</v>
      </c>
      <c r="AF39" s="200">
        <f t="shared" si="42"/>
        <v>0</v>
      </c>
      <c r="AG39" s="200">
        <f t="shared" si="42"/>
        <v>0</v>
      </c>
      <c r="AH39" s="200">
        <f t="shared" si="42"/>
        <v>0</v>
      </c>
      <c r="AI39" s="200">
        <f t="shared" si="42"/>
        <v>0</v>
      </c>
      <c r="AK39" s="222">
        <f>IF(MINUTE(AK38)&gt;0,FLOOR(AK38,0.041666667),AK38)</f>
        <v>0</v>
      </c>
      <c r="AL39" s="4"/>
      <c r="AM39" s="4"/>
      <c r="AO39" s="4"/>
      <c r="AP39" s="4"/>
      <c r="AQ39" s="4"/>
      <c r="AR39" s="4"/>
      <c r="AS39" s="4"/>
      <c r="AT39" s="4"/>
      <c r="AU39" s="4"/>
      <c r="AW39" s="28"/>
      <c r="AZ39" s="7">
        <f>IF((S39="O6")*AND(S40&lt;&gt;""),VLOOKUP(S40,Échelle!$AF$39:$AG$65,2),)</f>
        <v>0</v>
      </c>
      <c r="BA39" s="4" t="s">
        <v>27</v>
      </c>
      <c r="BB39" s="4"/>
    </row>
    <row r="40" spans="2:54" ht="13.5" thickBot="1" x14ac:dyDescent="0.25">
      <c r="C40" s="62" t="s">
        <v>222</v>
      </c>
      <c r="D40" s="63"/>
      <c r="E40" s="63"/>
      <c r="F40" s="65"/>
      <c r="G40" s="64"/>
      <c r="H40" s="118">
        <v>0</v>
      </c>
      <c r="J40" s="15" t="s">
        <v>540</v>
      </c>
      <c r="K40" s="16"/>
      <c r="L40" s="17"/>
      <c r="M40" s="16"/>
      <c r="N40" s="16"/>
      <c r="O40" s="16"/>
      <c r="P40" s="17"/>
      <c r="Q40" s="17"/>
      <c r="R40" s="25"/>
      <c r="S40" s="162">
        <v>29</v>
      </c>
      <c r="T40" s="363">
        <f>AZ44</f>
        <v>33124</v>
      </c>
      <c r="U40" s="364"/>
      <c r="V40" s="365"/>
      <c r="W40" s="317">
        <v>21822</v>
      </c>
      <c r="X40" s="317">
        <v>21498.68</v>
      </c>
      <c r="Z40" s="47"/>
      <c r="AA40" s="47"/>
      <c r="AB40" s="4">
        <f>COUNTIF(AL7:AL36,"1")</f>
        <v>0</v>
      </c>
      <c r="AC40" s="7">
        <v>0.625</v>
      </c>
      <c r="AD40" s="23" t="s">
        <v>374</v>
      </c>
      <c r="AG40" s="123"/>
      <c r="AH40" s="13" t="s">
        <v>229</v>
      </c>
      <c r="AI40" s="13"/>
      <c r="AJ40" s="124"/>
      <c r="AK40" s="13" t="s">
        <v>231</v>
      </c>
      <c r="AL40" s="13"/>
      <c r="AM40" s="22"/>
      <c r="AN40" s="124"/>
      <c r="AP40" s="4"/>
      <c r="AQ40" s="4"/>
      <c r="AR40" s="4"/>
      <c r="AS40" s="4"/>
      <c r="AT40" s="4"/>
      <c r="AU40" s="4"/>
      <c r="AZ40" s="7">
        <f>IF((S39="O6ir")*AND(S40&lt;&gt;""),VLOOKUP(S40,Échelle!$BD$39:$BE$65,2),)</f>
        <v>0</v>
      </c>
      <c r="BA40" s="4" t="s">
        <v>35</v>
      </c>
      <c r="BB40" s="4"/>
    </row>
    <row r="41" spans="2:54" ht="13.5" thickTop="1" x14ac:dyDescent="0.2">
      <c r="C41" s="62" t="s">
        <v>224</v>
      </c>
      <c r="D41" s="228"/>
      <c r="E41" s="228"/>
      <c r="F41" s="144"/>
      <c r="G41" s="144"/>
      <c r="H41" s="115">
        <f>AN38</f>
        <v>0</v>
      </c>
      <c r="I41" s="45"/>
      <c r="J41" s="18" t="s">
        <v>225</v>
      </c>
      <c r="K41" s="4"/>
      <c r="L41" s="98"/>
      <c r="M41" s="223">
        <f>AK39</f>
        <v>0</v>
      </c>
      <c r="N41" s="35" t="s">
        <v>226</v>
      </c>
      <c r="O41" s="75"/>
      <c r="P41" s="47"/>
      <c r="Q41" s="47"/>
      <c r="R41" s="47"/>
      <c r="S41" s="114"/>
      <c r="T41" s="116"/>
      <c r="U41" s="158">
        <f>IF(X3="x",(M41*AK42/0.041666667),0)</f>
        <v>0</v>
      </c>
      <c r="V41" s="26" t="s">
        <v>227</v>
      </c>
      <c r="W41" s="160">
        <f>IF(Z3="x",(M41*AH42/0.041666667),0)</f>
        <v>0</v>
      </c>
      <c r="X41" s="26" t="s">
        <v>227</v>
      </c>
      <c r="Z41" s="216" t="s">
        <v>228</v>
      </c>
      <c r="AA41" s="217"/>
      <c r="AB41" s="4">
        <f>COUNTIF(AL7:AL36,"2")</f>
        <v>0</v>
      </c>
      <c r="AG41" s="281"/>
      <c r="AH41" s="21">
        <f>X40*1.2434/1850</f>
        <v>14.449437141621623</v>
      </c>
      <c r="AI41" s="21"/>
      <c r="AJ41" s="48"/>
      <c r="AK41" s="21">
        <f>T40*AA39/1850</f>
        <v>31.795459027027029</v>
      </c>
      <c r="AL41" s="21" t="s">
        <v>230</v>
      </c>
      <c r="AM41" s="46"/>
      <c r="AN41" s="48"/>
      <c r="AP41" s="4"/>
      <c r="AQ41" s="4"/>
      <c r="AR41" s="4"/>
      <c r="AS41" s="4"/>
      <c r="AT41" s="4"/>
      <c r="AU41" s="4"/>
      <c r="AZ41" s="7">
        <f>IF((S39="O7")*AND(S40&lt;&gt;""),VLOOKUP(S40,Échelle!$AI$39:$AJ$65,2),)</f>
        <v>0</v>
      </c>
      <c r="BA41" s="4" t="s">
        <v>28</v>
      </c>
      <c r="BB41" s="2"/>
    </row>
    <row r="42" spans="2:54" x14ac:dyDescent="0.2">
      <c r="C42" s="62" t="s">
        <v>232</v>
      </c>
      <c r="D42" s="63"/>
      <c r="E42" s="63"/>
      <c r="F42" s="65"/>
      <c r="G42" s="303" t="s">
        <v>233</v>
      </c>
      <c r="H42" s="41">
        <f>AB40+(AB41/2)+(AB42/2)</f>
        <v>0</v>
      </c>
      <c r="J42" s="18" t="s">
        <v>234</v>
      </c>
      <c r="K42" s="4"/>
      <c r="L42" s="47"/>
      <c r="M42" s="224">
        <f>IF(Z3="x",AD39,)</f>
        <v>0</v>
      </c>
      <c r="N42" s="35" t="s">
        <v>226</v>
      </c>
      <c r="O42" s="75"/>
      <c r="P42" s="47"/>
      <c r="Q42" s="47"/>
      <c r="R42" s="47"/>
      <c r="S42" s="18"/>
      <c r="T42" s="103"/>
      <c r="U42" s="158"/>
      <c r="V42" s="26"/>
      <c r="W42" s="160">
        <f>IF(Z3="x",(M42*AH50/0.041666667),0)</f>
        <v>0</v>
      </c>
      <c r="X42" s="26"/>
      <c r="Z42" s="218" t="s">
        <v>235</v>
      </c>
      <c r="AA42" s="219"/>
      <c r="AB42" s="4">
        <f>COUNTIF(AL7:AL36,"7")</f>
        <v>0</v>
      </c>
      <c r="AC42" s="4"/>
      <c r="AF42" s="4">
        <f>M45*78</f>
        <v>0</v>
      </c>
      <c r="AG42" s="282" t="s">
        <v>155</v>
      </c>
      <c r="AH42" s="21">
        <f>AH41*0.9645*AK48/100*1.45</f>
        <v>9.3966730714961653</v>
      </c>
      <c r="AI42" s="21"/>
      <c r="AJ42" s="48"/>
      <c r="AK42" s="213">
        <f>(AK41*0.9645)*AK48/100</f>
        <v>14.260024907678918</v>
      </c>
      <c r="AL42" s="20" t="s">
        <v>236</v>
      </c>
      <c r="AM42" s="54"/>
      <c r="AN42" s="55"/>
      <c r="AP42" s="4"/>
      <c r="AQ42" s="4"/>
      <c r="AR42" s="4"/>
      <c r="AS42" s="4"/>
      <c r="AT42" s="4"/>
      <c r="AU42" s="4"/>
      <c r="AZ42" s="7">
        <f>IF((S39="O8")*AND(S40&lt;&gt;""),VLOOKUP(S40,Échelle!$AL$39:$AM$68,2),)</f>
        <v>0</v>
      </c>
      <c r="BA42" s="4" t="s">
        <v>29</v>
      </c>
      <c r="BB42" s="2"/>
    </row>
    <row r="43" spans="2:54" x14ac:dyDescent="0.2">
      <c r="C43" s="304"/>
      <c r="D43" s="66"/>
      <c r="E43" s="66"/>
      <c r="F43" s="67"/>
      <c r="G43" s="68"/>
      <c r="H43" s="73"/>
      <c r="J43" s="18" t="s">
        <v>238</v>
      </c>
      <c r="K43" s="21"/>
      <c r="L43" s="21"/>
      <c r="M43" s="224">
        <f>IF(X3="x",AF39,)</f>
        <v>0</v>
      </c>
      <c r="N43" s="35" t="s">
        <v>226</v>
      </c>
      <c r="O43" s="21"/>
      <c r="P43" s="21"/>
      <c r="Q43" s="21"/>
      <c r="R43" s="21"/>
      <c r="S43" s="18"/>
      <c r="T43" s="103"/>
      <c r="U43" s="158">
        <f>IF(X3="x",(M43*AK50/0.041666667),0)</f>
        <v>0</v>
      </c>
      <c r="V43" s="26" t="s">
        <v>227</v>
      </c>
      <c r="W43" s="160"/>
      <c r="X43" s="26" t="s">
        <v>227</v>
      </c>
      <c r="Z43" s="221">
        <f>AK47</f>
        <v>53.5</v>
      </c>
      <c r="AA43" s="220"/>
      <c r="AB43" s="4" t="s">
        <v>375</v>
      </c>
      <c r="AC43" s="4"/>
      <c r="AF43" s="4">
        <f>M46*23</f>
        <v>0</v>
      </c>
      <c r="AG43" s="19" t="s">
        <v>239</v>
      </c>
      <c r="AH43" s="197">
        <f>(W40*1.2434/1850)*0.009645*AK48</f>
        <v>6.5779242955345953</v>
      </c>
      <c r="AI43" s="197"/>
      <c r="AJ43" s="55"/>
      <c r="AK43" s="4">
        <v>1.24</v>
      </c>
      <c r="AL43" s="4" t="s">
        <v>240</v>
      </c>
      <c r="AP43" s="4"/>
      <c r="AQ43" s="4"/>
      <c r="AR43" s="4"/>
      <c r="AS43" s="4"/>
      <c r="AT43" s="4"/>
      <c r="AU43" s="4"/>
      <c r="AZ43" s="7">
        <f>IF((S39=Échelle!CB3)*AND(S40&lt;&gt;""),VLOOKUP(S40,Échelle!$CB$5:$CC$38,2),)</f>
        <v>0</v>
      </c>
      <c r="BA43" s="4" t="s">
        <v>237</v>
      </c>
      <c r="BB43" s="2"/>
    </row>
    <row r="44" spans="2:54" x14ac:dyDescent="0.2">
      <c r="C44" s="69" t="s">
        <v>241</v>
      </c>
      <c r="D44" s="70"/>
      <c r="E44" s="70"/>
      <c r="F44" s="71"/>
      <c r="G44" s="72"/>
      <c r="H44" s="74">
        <f>H39-H42+H40+H41</f>
        <v>33</v>
      </c>
      <c r="J44" s="18" t="s">
        <v>242</v>
      </c>
      <c r="K44" s="21"/>
      <c r="L44" s="21"/>
      <c r="M44" s="224">
        <f>IF(X3="x",AG39,)</f>
        <v>0</v>
      </c>
      <c r="N44" s="35" t="s">
        <v>226</v>
      </c>
      <c r="O44" s="21"/>
      <c r="P44" s="21"/>
      <c r="Q44" s="21"/>
      <c r="R44" s="21"/>
      <c r="S44" s="18"/>
      <c r="T44" s="103"/>
      <c r="U44" s="158">
        <f>IF(X3="x",(M44*AK51/0.041666667),0)</f>
        <v>0</v>
      </c>
      <c r="V44" s="26" t="s">
        <v>227</v>
      </c>
      <c r="W44" s="160"/>
      <c r="X44" s="26" t="s">
        <v>227</v>
      </c>
      <c r="Y44" s="47"/>
      <c r="Z44" s="47"/>
      <c r="AA44" s="47"/>
      <c r="AB44" s="7">
        <f>IF((M36-N36-U4)&gt;0,(M36-N36-U4-G54),)</f>
        <v>0</v>
      </c>
      <c r="AC44" s="7">
        <f>IF((MINUTE(AB44)&gt;=30),(0.041666667),)</f>
        <v>0</v>
      </c>
      <c r="AD44" s="7">
        <f>AB44+AC44</f>
        <v>0</v>
      </c>
      <c r="AE44" s="7">
        <f>AD44</f>
        <v>0</v>
      </c>
      <c r="AG44" s="4"/>
      <c r="AH44" s="4"/>
      <c r="AI44" s="4"/>
      <c r="AK44" s="4">
        <v>2.48</v>
      </c>
      <c r="AL44" s="4" t="s">
        <v>169</v>
      </c>
      <c r="AZ44" s="4">
        <f>SUM(AZ7:AZ43)</f>
        <v>33124</v>
      </c>
      <c r="BB44" s="2"/>
    </row>
    <row r="45" spans="2:54" x14ac:dyDescent="0.2">
      <c r="J45" s="18" t="s">
        <v>243</v>
      </c>
      <c r="K45" s="4"/>
      <c r="L45" s="47"/>
      <c r="M45" s="100">
        <f>COUNTIF(Q7:Q36,"1")</f>
        <v>0</v>
      </c>
      <c r="N45" s="18" t="s">
        <v>244</v>
      </c>
      <c r="O45" s="4"/>
      <c r="P45" s="47"/>
      <c r="Q45" s="47"/>
      <c r="R45" s="47">
        <f>COUNTIF(Q7:Q36,"2")</f>
        <v>0</v>
      </c>
      <c r="S45" s="18"/>
      <c r="T45" s="103"/>
      <c r="U45" s="158">
        <f>IF(X3="x",(M45*AK44*AA39+(R45*AA39*6.2)),0)</f>
        <v>0</v>
      </c>
      <c r="V45" s="26" t="s">
        <v>227</v>
      </c>
      <c r="W45" s="158">
        <f>IF(Z3="x",(M45*AK44*AA39+(R45*AA39*6.2)),0)</f>
        <v>0</v>
      </c>
      <c r="X45" s="26" t="s">
        <v>227</v>
      </c>
      <c r="Y45" s="47"/>
      <c r="Z45" s="47"/>
      <c r="AA45" s="47"/>
      <c r="AB45" s="7"/>
      <c r="AC45" s="7"/>
      <c r="AD45" s="7"/>
      <c r="AE45" s="7">
        <f>HOUR(AE44)</f>
        <v>0</v>
      </c>
      <c r="AG45" s="4"/>
      <c r="AH45" s="4"/>
      <c r="AI45" s="4"/>
      <c r="AK45" s="4">
        <v>2.48</v>
      </c>
      <c r="AL45" s="4" t="s">
        <v>170</v>
      </c>
      <c r="BB45" s="2"/>
    </row>
    <row r="46" spans="2:54" x14ac:dyDescent="0.2">
      <c r="C46" s="35" t="s">
        <v>306</v>
      </c>
      <c r="F46" s="4"/>
      <c r="G46" s="109" t="s">
        <v>307</v>
      </c>
      <c r="H46" s="109" t="s">
        <v>308</v>
      </c>
      <c r="J46" s="18" t="s">
        <v>249</v>
      </c>
      <c r="K46" s="21"/>
      <c r="L46" s="47"/>
      <c r="M46" s="100">
        <f>COUNTIF(R7:R36,"1")</f>
        <v>0</v>
      </c>
      <c r="N46" s="18" t="s">
        <v>250</v>
      </c>
      <c r="O46" s="21"/>
      <c r="P46" s="47"/>
      <c r="Q46" s="47"/>
      <c r="R46" s="47">
        <f>COUNTIF(R7:R36,"2")</f>
        <v>0</v>
      </c>
      <c r="S46" s="18"/>
      <c r="T46" s="103"/>
      <c r="U46" s="158">
        <f>IF(X3="x",(M46*AK45*AA39+(R46*AA39*6.2)),0)</f>
        <v>0</v>
      </c>
      <c r="V46" s="26" t="s">
        <v>227</v>
      </c>
      <c r="W46" s="158">
        <f>IF(Z3="x",(M46*AK45*AA39+(R46*AA39*6.2)),0)</f>
        <v>0</v>
      </c>
      <c r="X46" s="26" t="s">
        <v>227</v>
      </c>
      <c r="Y46" s="47"/>
      <c r="Z46" s="47"/>
      <c r="AA46" s="47"/>
      <c r="AB46" s="7">
        <f>HOUR(AD44)*0.041666667</f>
        <v>0</v>
      </c>
      <c r="AD46" s="7"/>
      <c r="AG46" s="4"/>
      <c r="AH46" s="4"/>
      <c r="AI46" s="4"/>
      <c r="AK46" s="4">
        <v>1.74</v>
      </c>
      <c r="AL46" s="4" t="s">
        <v>251</v>
      </c>
      <c r="BB46" s="2"/>
    </row>
    <row r="47" spans="2:54" x14ac:dyDescent="0.2">
      <c r="C47" s="35" t="s">
        <v>252</v>
      </c>
      <c r="G47" s="127"/>
      <c r="H47" s="127" t="s">
        <v>117</v>
      </c>
      <c r="J47" s="18" t="s">
        <v>253</v>
      </c>
      <c r="K47" s="4"/>
      <c r="L47" s="4"/>
      <c r="M47" s="100">
        <f>COUNTIF(S7:S36,"1")</f>
        <v>0</v>
      </c>
      <c r="N47" s="18" t="s">
        <v>254</v>
      </c>
      <c r="O47" s="4"/>
      <c r="P47" s="4"/>
      <c r="Q47" s="21"/>
      <c r="R47" s="39">
        <f>COUNTIF(S7:S36,"2")</f>
        <v>0</v>
      </c>
      <c r="S47" s="18"/>
      <c r="T47" s="117"/>
      <c r="U47" s="158">
        <f>IF(X3="x",(M47*AK46*AA39+(R47*AA39*3.48)),0)</f>
        <v>0</v>
      </c>
      <c r="V47" s="26" t="s">
        <v>227</v>
      </c>
      <c r="W47" s="158">
        <f>IF(Z3="x",(M47*AK46*AA39+(R47*AA39*3.48)),0)</f>
        <v>0</v>
      </c>
      <c r="X47" s="26" t="s">
        <v>227</v>
      </c>
      <c r="AB47" s="7"/>
      <c r="AD47" s="96"/>
      <c r="AG47" s="4"/>
      <c r="AH47" s="4"/>
      <c r="AI47" s="4"/>
      <c r="AK47" s="4">
        <f>VLOOKUP(AS47,Données!$F$74:$H$85,3)</f>
        <v>53.5</v>
      </c>
      <c r="AL47" s="4" t="s">
        <v>255</v>
      </c>
      <c r="AP47" s="385">
        <f>T40*Z39</f>
        <v>58821.599200000004</v>
      </c>
      <c r="AQ47" s="2">
        <f>AP47*0.075</f>
        <v>4411.6199400000005</v>
      </c>
      <c r="AR47" s="2">
        <f>AP47*0.0355</f>
        <v>2088.1667716000002</v>
      </c>
      <c r="AS47" s="225">
        <f>AP47-AQ47-AR47</f>
        <v>52321.812488400006</v>
      </c>
      <c r="BB47" s="2"/>
    </row>
    <row r="48" spans="2:54" x14ac:dyDescent="0.2">
      <c r="J48" s="18" t="s">
        <v>256</v>
      </c>
      <c r="K48" s="4"/>
      <c r="L48" s="4"/>
      <c r="M48" s="100">
        <f>COUNTIF(T7:T36,"1")</f>
        <v>0</v>
      </c>
      <c r="N48" s="18" t="s">
        <v>257</v>
      </c>
      <c r="O48" s="4"/>
      <c r="P48" s="4"/>
      <c r="Q48" s="21"/>
      <c r="R48" s="39">
        <f>COUNTIF(T7:T36,"2")</f>
        <v>0</v>
      </c>
      <c r="S48" s="18"/>
      <c r="T48" s="117"/>
      <c r="U48" s="158">
        <f>IF(X3="x",(M48*AK43*AA39+(R48*AA39*2.48)),0)</f>
        <v>0</v>
      </c>
      <c r="V48" s="26" t="s">
        <v>227</v>
      </c>
      <c r="W48" s="158">
        <f>IF(Z3="x",(M48*AK43*AA39+(R48*AA39*2.48)),0)</f>
        <v>0</v>
      </c>
      <c r="X48" s="26" t="s">
        <v>227</v>
      </c>
      <c r="AB48" s="7">
        <f>IF(MINUTE(AB44)&gt;0,FLOOR(AE44,0.041666667),AE44)</f>
        <v>0</v>
      </c>
      <c r="AC48" s="96"/>
      <c r="AD48" s="96"/>
      <c r="AG48" s="4"/>
      <c r="AH48" s="4"/>
      <c r="AI48" s="4"/>
      <c r="AK48" s="4">
        <f>100-AK47</f>
        <v>46.5</v>
      </c>
      <c r="AL48" s="4" t="s">
        <v>258</v>
      </c>
      <c r="BB48" s="2"/>
    </row>
    <row r="49" spans="3:54" x14ac:dyDescent="0.2">
      <c r="C49" s="4" t="s">
        <v>259</v>
      </c>
      <c r="F49" s="4"/>
      <c r="G49" s="4"/>
      <c r="J49" s="18" t="s">
        <v>260</v>
      </c>
      <c r="K49" s="4"/>
      <c r="L49" s="21"/>
      <c r="M49" s="224">
        <f>IF(AND(O36="+",G47="x",AB44&gt;=0),AB48,0)</f>
        <v>0</v>
      </c>
      <c r="N49" s="35" t="s">
        <v>226</v>
      </c>
      <c r="O49" s="75"/>
      <c r="P49" s="47"/>
      <c r="Q49" s="47"/>
      <c r="R49" s="47"/>
      <c r="S49" s="18"/>
      <c r="T49" s="103"/>
      <c r="U49" s="158">
        <f>IF(X3="x",(M49*AK42/0.041666667),0)</f>
        <v>0</v>
      </c>
      <c r="V49" s="26" t="s">
        <v>227</v>
      </c>
      <c r="W49" s="160">
        <f>IF(Z3="x",(M49*AH43/0.041666667),0)</f>
        <v>0</v>
      </c>
      <c r="X49" s="26" t="s">
        <v>227</v>
      </c>
      <c r="AG49" s="4"/>
      <c r="AH49" s="4"/>
      <c r="AI49" s="4"/>
      <c r="BB49" s="2"/>
    </row>
    <row r="50" spans="3:54" x14ac:dyDescent="0.2">
      <c r="C50" s="4" t="s">
        <v>261</v>
      </c>
      <c r="F50" s="4"/>
      <c r="G50" s="215">
        <v>0</v>
      </c>
      <c r="J50" s="18" t="s">
        <v>262</v>
      </c>
      <c r="K50" s="21"/>
      <c r="L50" s="21"/>
      <c r="M50" s="177">
        <f>AM37</f>
        <v>0</v>
      </c>
      <c r="N50" s="188" t="s">
        <v>263</v>
      </c>
      <c r="O50" s="153"/>
      <c r="P50" s="47"/>
      <c r="Q50" s="47"/>
      <c r="R50" s="47"/>
      <c r="S50" s="18"/>
      <c r="T50" s="153"/>
      <c r="U50" s="158">
        <f>IF(X3="x",AM38,0)</f>
        <v>0</v>
      </c>
      <c r="V50" s="26" t="s">
        <v>227</v>
      </c>
      <c r="W50" s="160">
        <f>IF(Z3="x",AM38,0)</f>
        <v>0</v>
      </c>
      <c r="X50" s="26" t="s">
        <v>227</v>
      </c>
      <c r="AG50" s="4" t="s">
        <v>161</v>
      </c>
      <c r="AH50" s="4">
        <f>AH41*0.00325*0.9645*AK48</f>
        <v>2.1061508608525887</v>
      </c>
      <c r="AI50" s="4"/>
      <c r="AK50" s="97">
        <f>AK42/100*20</f>
        <v>2.8520049815357833</v>
      </c>
      <c r="AL50" s="4" t="s">
        <v>264</v>
      </c>
      <c r="BB50" s="2"/>
    </row>
    <row r="51" spans="3:54" x14ac:dyDescent="0.2">
      <c r="C51" s="245" t="s">
        <v>265</v>
      </c>
      <c r="J51" s="18" t="s">
        <v>266</v>
      </c>
      <c r="K51" s="47"/>
      <c r="L51" s="21"/>
      <c r="M51" s="100">
        <f>SUM(AA7:AA36)</f>
        <v>0</v>
      </c>
      <c r="N51" s="188" t="s">
        <v>267</v>
      </c>
      <c r="O51" s="21"/>
      <c r="P51" s="21"/>
      <c r="Q51" s="21"/>
      <c r="R51" s="21"/>
      <c r="S51" s="18"/>
      <c r="T51" s="187"/>
      <c r="U51" s="158">
        <f>IF(X3="x",(M51*Données!$T$13),0)</f>
        <v>0</v>
      </c>
      <c r="V51" s="26" t="s">
        <v>227</v>
      </c>
      <c r="W51" s="160">
        <f>IF(Z3="x",M51*0.2,0)</f>
        <v>0</v>
      </c>
      <c r="X51" s="26" t="s">
        <v>227</v>
      </c>
      <c r="AK51" s="97">
        <f>AK42/100*35</f>
        <v>4.9910087176876212</v>
      </c>
      <c r="AL51" s="4" t="s">
        <v>268</v>
      </c>
      <c r="BB51" s="2"/>
    </row>
    <row r="52" spans="3:54" x14ac:dyDescent="0.2">
      <c r="J52" s="18" t="s">
        <v>269</v>
      </c>
      <c r="K52" s="21"/>
      <c r="L52" s="21"/>
      <c r="M52" s="224">
        <f>AH53</f>
        <v>0</v>
      </c>
      <c r="N52" s="35" t="s">
        <v>226</v>
      </c>
      <c r="O52" s="21"/>
      <c r="P52" s="21"/>
      <c r="Q52" s="21"/>
      <c r="R52" s="21"/>
      <c r="S52" s="18"/>
      <c r="T52" s="153"/>
      <c r="U52" s="158">
        <f>IF(X3="x",(M52*AK53/0.041666667),0)</f>
        <v>0</v>
      </c>
      <c r="V52" s="26" t="s">
        <v>227</v>
      </c>
      <c r="W52" s="158">
        <f>IF(Z3="x",(M52*AK53/0.041666667),0)</f>
        <v>0</v>
      </c>
      <c r="X52" s="26" t="s">
        <v>227</v>
      </c>
      <c r="AK52" s="225"/>
      <c r="BB52" s="2"/>
    </row>
    <row r="53" spans="3:54" x14ac:dyDescent="0.2">
      <c r="C53" s="35" t="s">
        <v>270</v>
      </c>
      <c r="J53" s="18" t="s">
        <v>271</v>
      </c>
      <c r="K53" s="21"/>
      <c r="L53" s="21"/>
      <c r="M53" s="224">
        <f>AH54</f>
        <v>0</v>
      </c>
      <c r="N53" s="188" t="s">
        <v>226</v>
      </c>
      <c r="O53" s="21"/>
      <c r="P53" s="21"/>
      <c r="Q53" s="21"/>
      <c r="R53" s="21"/>
      <c r="S53" s="18"/>
      <c r="T53" s="153"/>
      <c r="U53" s="158">
        <f>IF(X3="x",(M53*AK54/0.041666667),0)</f>
        <v>0</v>
      </c>
      <c r="V53" s="26" t="s">
        <v>227</v>
      </c>
      <c r="W53" s="158">
        <f>IF(Z3="x",(M53*AK54/0.041666667),0)</f>
        <v>0</v>
      </c>
      <c r="X53" s="26" t="s">
        <v>227</v>
      </c>
      <c r="AE53" s="285">
        <f>SUM(Y7:Y36)</f>
        <v>0</v>
      </c>
      <c r="AF53" s="196">
        <f>IF(MINUTE(AE53)&gt;=30,AE53+0.041666667,AE53)</f>
        <v>0</v>
      </c>
      <c r="AG53" s="196"/>
      <c r="AH53" s="13">
        <f>IF(MINUTE(AF53)&gt;0,FLOOR(AF53,0.041666667),AF53)</f>
        <v>0</v>
      </c>
      <c r="AI53" s="13"/>
      <c r="AJ53" s="196"/>
      <c r="AK53" s="212">
        <f>AK42/24</f>
        <v>0.5941677044866216</v>
      </c>
      <c r="AL53" s="13" t="s">
        <v>272</v>
      </c>
      <c r="AM53" s="13"/>
      <c r="AN53" s="13"/>
      <c r="AO53" s="13"/>
      <c r="AP53" s="121"/>
      <c r="BB53" s="2"/>
    </row>
    <row r="54" spans="3:54" x14ac:dyDescent="0.2">
      <c r="C54" s="35" t="s">
        <v>261</v>
      </c>
      <c r="G54" s="198">
        <v>0</v>
      </c>
      <c r="J54" s="19" t="s">
        <v>273</v>
      </c>
      <c r="K54" s="20"/>
      <c r="L54" s="20"/>
      <c r="M54" s="318">
        <f>AU37</f>
        <v>0</v>
      </c>
      <c r="N54" s="20" t="s">
        <v>263</v>
      </c>
      <c r="O54" s="20"/>
      <c r="P54" s="20"/>
      <c r="Q54" s="20"/>
      <c r="R54" s="20"/>
      <c r="S54" s="19"/>
      <c r="T54" s="20"/>
      <c r="U54" s="159">
        <f>IF(X3="x",(M54*(2.81*AA39))/100*(100-Z43),0)</f>
        <v>0</v>
      </c>
      <c r="V54" s="27" t="s">
        <v>227</v>
      </c>
      <c r="W54" s="159">
        <f>IF(Z3="x",(M54*(2.81*AA39))/100*(100-Z43),0)</f>
        <v>0</v>
      </c>
      <c r="X54" s="27" t="s">
        <v>227</v>
      </c>
      <c r="AE54" s="286">
        <f>SUM(Z7:Z36)</f>
        <v>0</v>
      </c>
      <c r="AF54" s="197">
        <f>IF(MINUTE(AE54)&gt;=30,AE54+0.041666667,AE54)</f>
        <v>0</v>
      </c>
      <c r="AG54" s="197"/>
      <c r="AH54" s="20">
        <f>IF(MINUTE(AF54)&gt;0,FLOOR(AF54,0.041666667),AF54)</f>
        <v>0</v>
      </c>
      <c r="AI54" s="20"/>
      <c r="AJ54" s="197"/>
      <c r="AK54" s="213">
        <f>AK42/15</f>
        <v>0.95066832717859451</v>
      </c>
      <c r="AL54" s="20" t="s">
        <v>274</v>
      </c>
      <c r="AM54" s="20"/>
      <c r="AN54" s="20"/>
      <c r="AO54" s="20"/>
      <c r="AP54" s="119"/>
      <c r="BB54" s="2"/>
    </row>
    <row r="55" spans="3:54" x14ac:dyDescent="0.2">
      <c r="C55" s="245" t="s">
        <v>265</v>
      </c>
      <c r="E55" s="21"/>
      <c r="F55" s="47"/>
      <c r="G55" s="21"/>
      <c r="L55" s="104" t="s">
        <v>275</v>
      </c>
      <c r="M55" s="104"/>
      <c r="N55" s="19"/>
      <c r="O55" s="105"/>
      <c r="P55" s="99"/>
      <c r="Q55" s="99"/>
      <c r="R55" s="99"/>
      <c r="S55" s="19"/>
      <c r="T55" s="106"/>
      <c r="U55" s="159">
        <f>IF(X3="x",(SUM(U41:U54)),0)</f>
        <v>0</v>
      </c>
      <c r="V55" s="27" t="s">
        <v>227</v>
      </c>
      <c r="W55" s="159">
        <f>IF(Z3="x",(SUM(W41:W54)),0)</f>
        <v>0</v>
      </c>
      <c r="X55" s="27" t="s">
        <v>227</v>
      </c>
      <c r="BB55" s="2"/>
    </row>
    <row r="59" spans="3:54" x14ac:dyDescent="0.2">
      <c r="E59" s="108"/>
      <c r="F59" s="21"/>
      <c r="G59" s="47"/>
      <c r="H59" s="21"/>
      <c r="I59" s="21"/>
      <c r="J59" s="21"/>
      <c r="K59" s="21"/>
      <c r="L59" s="21"/>
      <c r="M59" s="104"/>
      <c r="N59" s="189"/>
      <c r="O59" s="21"/>
      <c r="P59" s="46"/>
      <c r="S59" s="32"/>
      <c r="T59" s="1"/>
      <c r="U59" s="1"/>
      <c r="V59" s="32"/>
      <c r="W59" s="32"/>
      <c r="X59" s="192"/>
      <c r="Y59" s="30"/>
    </row>
    <row r="60" spans="3:54" x14ac:dyDescent="0.2">
      <c r="E60" s="108"/>
      <c r="F60" s="21"/>
      <c r="G60" s="47"/>
      <c r="H60" s="21"/>
      <c r="I60" s="21"/>
      <c r="J60" s="21"/>
      <c r="K60" s="21"/>
      <c r="L60" s="21"/>
      <c r="M60" s="104"/>
      <c r="N60" s="189"/>
      <c r="O60" s="21"/>
      <c r="P60" s="46"/>
      <c r="S60" s="32"/>
      <c r="T60" s="1"/>
      <c r="U60" s="1"/>
      <c r="V60" s="32"/>
      <c r="W60" s="32"/>
      <c r="X60" s="193"/>
      <c r="Y60" s="32"/>
    </row>
    <row r="61" spans="3:54" x14ac:dyDescent="0.2">
      <c r="E61" s="108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</sheetData>
  <sheetProtection algorithmName="SHA-512" hashValue="7gV9cVh4/gp+51nQJ7rUB7/9W36LYpZ1HV3up0uF6kLmXGRvZ/iGwRq8BXAjqMoyWYtwNfJSOQ1603VzWEi/kw==" saltValue="ULVnd0kaXQ5WQ8QHQ+Nz7g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2" orientation="landscape" horizontalDpi="300" verticalDpi="300" r:id="rId1"/>
  <headerFooter alignWithMargins="0"/>
  <ignoredErrors>
    <ignoredError sqref="Q7:T36" unlockedFormula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>
    <pageSetUpPr fitToPage="1"/>
  </sheetPr>
  <dimension ref="A1:XFC61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9" sqref="F9"/>
    </sheetView>
  </sheetViews>
  <sheetFormatPr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710937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6" width="5.7109375" style="5" customWidth="1"/>
    <col min="27" max="27" width="5.85546875" style="5" bestFit="1" customWidth="1"/>
    <col min="28" max="28" width="14" style="2" hidden="1" customWidth="1"/>
    <col min="29" max="29" width="4.8554687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3" width="10.42578125" style="2" hidden="1" customWidth="1"/>
    <col min="44" max="44" width="12" style="2" hidden="1" customWidth="1"/>
    <col min="45" max="46" width="10.42578125" style="2" hidden="1" customWidth="1"/>
    <col min="47" max="47" width="4.28515625" style="2" hidden="1" customWidth="1"/>
    <col min="48" max="48" width="7.7109375" style="39" hidden="1" customWidth="1"/>
    <col min="49" max="49" width="6.42578125" style="39" hidden="1" customWidth="1"/>
    <col min="50" max="50" width="5.7109375" style="2" hidden="1" customWidth="1"/>
    <col min="51" max="51" width="3" style="2" hidden="1" customWidth="1"/>
    <col min="52" max="52" width="5.28515625" style="4" hidden="1" customWidth="1"/>
    <col min="53" max="53" width="6.42578125" style="4" hidden="1" customWidth="1"/>
    <col min="54" max="54" width="51.7109375" customWidth="1"/>
    <col min="55" max="16383" width="51.7109375" hidden="1" customWidth="1"/>
    <col min="16384" max="16384" width="0" hidden="1" customWidth="1"/>
  </cols>
  <sheetData>
    <row r="1" spans="2:54" x14ac:dyDescent="0.2">
      <c r="C1" s="307"/>
      <c r="H1" s="248"/>
      <c r="X1" s="178"/>
      <c r="Y1" s="179"/>
      <c r="Z1" s="179" t="s">
        <v>110</v>
      </c>
      <c r="AA1" s="180"/>
      <c r="AD1" s="96">
        <v>0.29166666666666669</v>
      </c>
      <c r="AQ1" s="39" t="s">
        <v>111</v>
      </c>
      <c r="AR1" s="39" t="s">
        <v>112</v>
      </c>
      <c r="AS1" s="39" t="s">
        <v>113</v>
      </c>
      <c r="AT1" s="39" t="s">
        <v>114</v>
      </c>
      <c r="AU1" s="39"/>
      <c r="BB1" s="2"/>
    </row>
    <row r="2" spans="2:54" x14ac:dyDescent="0.2">
      <c r="C2" s="246"/>
      <c r="M2" s="136"/>
      <c r="N2" s="137"/>
      <c r="O2" s="137"/>
      <c r="P2" s="137"/>
      <c r="Q2" s="137"/>
      <c r="R2" s="137"/>
      <c r="S2" s="137"/>
      <c r="T2" s="137"/>
      <c r="U2" s="138"/>
      <c r="V2" s="139"/>
      <c r="X2" s="181" t="s">
        <v>115</v>
      </c>
      <c r="Y2" s="182"/>
      <c r="Z2" s="182" t="s">
        <v>116</v>
      </c>
      <c r="AA2" s="183"/>
      <c r="AC2" s="112"/>
      <c r="AD2" s="96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0"/>
      <c r="M3" s="140"/>
      <c r="N3" s="141"/>
      <c r="O3" s="141"/>
      <c r="P3" s="141"/>
      <c r="Q3" s="141"/>
      <c r="R3" s="141"/>
      <c r="S3" s="141"/>
      <c r="T3" s="141"/>
      <c r="U3" s="142"/>
      <c r="V3" s="143"/>
      <c r="X3" s="253" t="s">
        <v>117</v>
      </c>
      <c r="Y3" s="184"/>
      <c r="Z3" s="253"/>
      <c r="AA3" s="185"/>
      <c r="AD3" s="96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B4" s="277" t="s">
        <v>694</v>
      </c>
      <c r="C4" s="465" t="str">
        <f>Données!F6</f>
        <v>Memento 2022</v>
      </c>
      <c r="G4" s="4" t="s">
        <v>118</v>
      </c>
      <c r="I4" s="4"/>
      <c r="J4" s="4"/>
      <c r="K4" s="4"/>
      <c r="L4" s="4"/>
      <c r="M4" s="386">
        <f>Sep!$G$54</f>
        <v>0</v>
      </c>
      <c r="P4" s="4" t="s">
        <v>119</v>
      </c>
      <c r="Q4" s="4"/>
      <c r="R4" s="4"/>
      <c r="S4" s="4"/>
      <c r="T4" s="4"/>
      <c r="U4" s="199">
        <f>IF(Sep!$H$47="x",Sep!$U$4,Sep!$G$50)</f>
        <v>0</v>
      </c>
      <c r="AV4" s="84"/>
      <c r="AW4" s="84" t="s">
        <v>120</v>
      </c>
      <c r="AX4" s="200">
        <v>0</v>
      </c>
      <c r="AY4" s="200"/>
      <c r="BB4" s="2"/>
    </row>
    <row r="5" spans="2:54" x14ac:dyDescent="0.2">
      <c r="B5" s="81"/>
      <c r="C5" s="82"/>
      <c r="D5" s="83" t="s">
        <v>122</v>
      </c>
      <c r="E5" s="83" t="s">
        <v>123</v>
      </c>
      <c r="F5" s="90" t="s">
        <v>124</v>
      </c>
      <c r="G5" s="91"/>
      <c r="H5" s="90" t="s">
        <v>124</v>
      </c>
      <c r="I5" s="91"/>
      <c r="J5" s="90" t="s">
        <v>124</v>
      </c>
      <c r="K5" s="91"/>
      <c r="L5" s="90" t="s">
        <v>125</v>
      </c>
      <c r="M5" s="91"/>
      <c r="N5" s="84" t="s">
        <v>126</v>
      </c>
      <c r="O5" s="93" t="s">
        <v>127</v>
      </c>
      <c r="P5" s="92"/>
      <c r="Q5" s="90" t="s">
        <v>128</v>
      </c>
      <c r="R5" s="134"/>
      <c r="S5" s="134"/>
      <c r="T5" s="91"/>
      <c r="U5" s="84" t="s">
        <v>129</v>
      </c>
      <c r="V5" s="84" t="s">
        <v>130</v>
      </c>
      <c r="W5" s="84" t="s">
        <v>129</v>
      </c>
      <c r="X5" s="84" t="s">
        <v>129</v>
      </c>
      <c r="Y5" s="300"/>
      <c r="Z5" s="84" t="s">
        <v>131</v>
      </c>
      <c r="AA5" s="301" t="s">
        <v>132</v>
      </c>
      <c r="AB5" s="8" t="s">
        <v>133</v>
      </c>
      <c r="AC5" s="8" t="s">
        <v>134</v>
      </c>
      <c r="AD5" s="8" t="s">
        <v>135</v>
      </c>
      <c r="AE5" s="8" t="s">
        <v>136</v>
      </c>
      <c r="AF5" s="8" t="s">
        <v>137</v>
      </c>
      <c r="AG5" s="8" t="s">
        <v>137</v>
      </c>
      <c r="AH5" s="8" t="s">
        <v>138</v>
      </c>
      <c r="AI5" s="8" t="s">
        <v>139</v>
      </c>
      <c r="AO5" s="4"/>
      <c r="AT5" s="4" t="s">
        <v>140</v>
      </c>
      <c r="AU5" s="4"/>
      <c r="AV5" s="231" t="s">
        <v>141</v>
      </c>
      <c r="AW5" s="231" t="s">
        <v>142</v>
      </c>
      <c r="AX5" s="84" t="s">
        <v>126</v>
      </c>
      <c r="AY5" s="250"/>
      <c r="BB5" s="4"/>
    </row>
    <row r="6" spans="2:54" x14ac:dyDescent="0.2">
      <c r="B6" s="85" t="s">
        <v>143</v>
      </c>
      <c r="C6" s="86" t="s">
        <v>144</v>
      </c>
      <c r="D6" s="87" t="s">
        <v>44</v>
      </c>
      <c r="E6" s="87" t="s">
        <v>145</v>
      </c>
      <c r="F6" s="86" t="s">
        <v>44</v>
      </c>
      <c r="G6" s="86" t="s">
        <v>45</v>
      </c>
      <c r="H6" s="86" t="s">
        <v>44</v>
      </c>
      <c r="I6" s="86" t="s">
        <v>45</v>
      </c>
      <c r="J6" s="86" t="s">
        <v>44</v>
      </c>
      <c r="K6" s="86" t="s">
        <v>45</v>
      </c>
      <c r="L6" s="86" t="s">
        <v>146</v>
      </c>
      <c r="M6" s="86" t="s">
        <v>147</v>
      </c>
      <c r="N6" s="86" t="s">
        <v>148</v>
      </c>
      <c r="O6" s="94" t="s">
        <v>149</v>
      </c>
      <c r="P6" s="95"/>
      <c r="Q6" s="357" t="s">
        <v>150</v>
      </c>
      <c r="R6" s="357" t="s">
        <v>151</v>
      </c>
      <c r="S6" s="357" t="s">
        <v>152</v>
      </c>
      <c r="T6" s="357" t="s">
        <v>153</v>
      </c>
      <c r="U6" s="176" t="s">
        <v>154</v>
      </c>
      <c r="V6" s="86" t="s">
        <v>155</v>
      </c>
      <c r="W6" s="86" t="s">
        <v>156</v>
      </c>
      <c r="X6" s="195" t="s">
        <v>157</v>
      </c>
      <c r="Y6" s="88" t="s">
        <v>131</v>
      </c>
      <c r="Z6" s="86" t="s">
        <v>158</v>
      </c>
      <c r="AA6" s="302" t="s">
        <v>159</v>
      </c>
      <c r="AB6" s="9" t="s">
        <v>160</v>
      </c>
      <c r="AC6" s="9" t="s">
        <v>160</v>
      </c>
      <c r="AD6" s="9" t="s">
        <v>137</v>
      </c>
      <c r="AE6" s="9" t="s">
        <v>161</v>
      </c>
      <c r="AF6" s="9" t="s">
        <v>156</v>
      </c>
      <c r="AG6" s="278" t="s">
        <v>157</v>
      </c>
      <c r="AH6" s="8" t="s">
        <v>137</v>
      </c>
      <c r="AI6" s="8" t="s">
        <v>162</v>
      </c>
      <c r="AJ6" s="56" t="s">
        <v>163</v>
      </c>
      <c r="AK6" s="11" t="s">
        <v>164</v>
      </c>
      <c r="AL6" s="101" t="s">
        <v>165</v>
      </c>
      <c r="AM6" s="10" t="s">
        <v>166</v>
      </c>
      <c r="AN6" s="10" t="s">
        <v>167</v>
      </c>
      <c r="AO6" s="10"/>
      <c r="AP6" s="11" t="s">
        <v>168</v>
      </c>
      <c r="AQ6" s="11" t="s">
        <v>169</v>
      </c>
      <c r="AR6" s="11" t="s">
        <v>170</v>
      </c>
      <c r="AS6" s="11" t="s">
        <v>171</v>
      </c>
      <c r="AT6" s="10" t="s">
        <v>166</v>
      </c>
      <c r="AU6" s="10" t="s">
        <v>172</v>
      </c>
      <c r="AV6" s="232" t="s">
        <v>173</v>
      </c>
      <c r="AW6" s="232" t="s">
        <v>174</v>
      </c>
      <c r="AX6" s="86" t="s">
        <v>148</v>
      </c>
      <c r="AY6" s="251"/>
      <c r="AZ6" s="11"/>
      <c r="BA6" s="11"/>
      <c r="BB6" s="11" t="s">
        <v>175</v>
      </c>
    </row>
    <row r="7" spans="2:54" x14ac:dyDescent="0.2">
      <c r="B7" s="403" t="s">
        <v>184</v>
      </c>
      <c r="C7" s="404" t="s">
        <v>541</v>
      </c>
      <c r="D7" s="405"/>
      <c r="E7" s="405"/>
      <c r="F7" s="401"/>
      <c r="G7" s="401"/>
      <c r="H7" s="401"/>
      <c r="I7" s="401"/>
      <c r="J7" s="406"/>
      <c r="K7" s="406"/>
      <c r="L7" s="402">
        <f>(G7-F7)+(I7-H7)+(K7-J7)</f>
        <v>0</v>
      </c>
      <c r="M7" s="402">
        <f>IF(Sep!H47="x",L7+Sep!M36+M4,L7+M4)</f>
        <v>0</v>
      </c>
      <c r="N7" s="407">
        <f>IF(Sep!$H$47="x",AV7+Sep!$N$36,AV7)</f>
        <v>6.9666666666666632</v>
      </c>
      <c r="O7" s="408" t="str">
        <f>IF((M7-N7-U$4)&lt;0,"-","+")</f>
        <v>-</v>
      </c>
      <c r="P7" s="409">
        <f>ABS(M7-N7-U$4)</f>
        <v>6.9666666666666632</v>
      </c>
      <c r="Q7" s="410">
        <f>AQ7</f>
        <v>0</v>
      </c>
      <c r="R7" s="410">
        <f>AR7</f>
        <v>0</v>
      </c>
      <c r="S7" s="410">
        <f>AS7</f>
        <v>0</v>
      </c>
      <c r="T7" s="410">
        <f>AP7</f>
        <v>0</v>
      </c>
      <c r="U7" s="407">
        <f>IF($Z$3="x",AD7,)</f>
        <v>0</v>
      </c>
      <c r="V7" s="407">
        <f>L7</f>
        <v>0</v>
      </c>
      <c r="W7" s="402">
        <f>IF($X$3="x",AF7,)</f>
        <v>0</v>
      </c>
      <c r="X7" s="402">
        <f>IF($X$3="x",AG7,)</f>
        <v>0</v>
      </c>
      <c r="Y7" s="401"/>
      <c r="Z7" s="401"/>
      <c r="AA7" s="411"/>
      <c r="AB7" s="420">
        <f>IF((G7&gt;$AD$3)*AND(F7&lt;=$AD$3),G7-$AD$3,)+IF(F7&gt;$AD$3,G7-F7,)+IF((I7&gt;$AD$3)*AND(H7&lt;=$AD$3),I7-$AD$3,)+IF((H7&gt;$AD$3),I7-H7,)+IF((K7&gt;$AD$3)*AND(J7&lt;=$AD$3),K7-$AD$3,)+IF((J7&gt;$AD$3),K7-J7,)</f>
        <v>0</v>
      </c>
      <c r="AC7" s="420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20">
        <f>AB7+AC7</f>
        <v>0</v>
      </c>
      <c r="AE7" s="420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21">
        <f>AB7-AE7</f>
        <v>0</v>
      </c>
      <c r="AG7" s="420">
        <f>AI7+AE7</f>
        <v>0</v>
      </c>
      <c r="AH7" s="421">
        <f>AD7</f>
        <v>0</v>
      </c>
      <c r="AI7" s="420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22">
        <f>IF((D7&lt;&gt;""),VLOOKUP(D7,Données!$E$36:$H$59,4,FALSE),)</f>
        <v>0</v>
      </c>
      <c r="AK7" s="422">
        <f t="shared" ref="AK7:AK37" si="0">IF(V7&gt;0,L7,0)</f>
        <v>0</v>
      </c>
      <c r="AL7" s="423">
        <f>IF(L7&gt;0,D7,0)</f>
        <v>0</v>
      </c>
      <c r="AM7" s="424">
        <f>IF((E7="X")*OR(E7="x"),1,0)</f>
        <v>0</v>
      </c>
      <c r="AN7" s="425">
        <f>IF(D7="F",1,)+IF((D7="JP")*AND(((G7-F7)+(I7-H7)+(K7-J7))&gt;0),1,0)</f>
        <v>0</v>
      </c>
      <c r="AO7" s="422">
        <f>IF((D7="JP")*AND(((G7-F7)+(I7-H7)+(K7-J7))=0),"07:36",0)</f>
        <v>0</v>
      </c>
      <c r="AP7" s="426">
        <f>IF((F7&lt;=$AQ$2)*AND(G7&gt;=$AQ$3),1,)+IF((H7&lt;=$AQ$2)*AND(I7&gt;=$AQ$3),1,)+IF((J7&lt;=$AQ$2)*AND(K7&gt;=$AQ$3),1,)</f>
        <v>0</v>
      </c>
      <c r="AQ7" s="426">
        <f>IF((F7&lt;=$AR$2)*AND(G7&gt;=$AR$3),1,)+IF((H7&lt;=$AR$2)*AND(I7&gt;=$AR$3),1,)+IF((J7&lt;=$AR$2)*AND(K7&gt;=$AR$3),1,)</f>
        <v>0</v>
      </c>
      <c r="AR7" s="426">
        <f>IF((F7&lt;=$AS$2)*AND(G7&gt;=$AS$3),1,)+IF((H7&lt;=$AS$2)*AND(I7&gt;=$AS$3),1,)+IF((J7&lt;=$AS$2)*AND(K7&gt;=$AS$3),1,)</f>
        <v>0</v>
      </c>
      <c r="AS7" s="426">
        <f>IF((F7=$AT$2)*AND(G7&gt;=$AT$3),1,)+IF((H7=$AT$2)*AND(I7&gt;=$AT$3),1,)+IF((J7=$AT$2)*AND(K7&gt;=$AT$3),1,)</f>
        <v>0</v>
      </c>
      <c r="AT7" s="424">
        <f>IF((E7="me")*OR(E7="ME"),1,0)</f>
        <v>0</v>
      </c>
      <c r="AU7" s="424">
        <f>IF((E7="M")*OR(E7="m"),1,0)</f>
        <v>0</v>
      </c>
      <c r="AV7" s="402">
        <f>IF(Données!$H$8="x",AW7,AX7)</f>
        <v>0</v>
      </c>
      <c r="AW7" s="402">
        <f t="shared" ref="AW7:AW37" si="1">AX7/2</f>
        <v>0</v>
      </c>
      <c r="AX7" s="402">
        <f>AX4</f>
        <v>0</v>
      </c>
      <c r="AY7" s="403" t="str">
        <f>B7</f>
        <v>Sa</v>
      </c>
      <c r="AZ7" s="423">
        <f>IF((S40="HAU1")*AND(S41&lt;&gt;""),VLOOKUP(S41,Échelle!$Q$5:$R$31,2),)</f>
        <v>0</v>
      </c>
      <c r="BA7" s="424" t="s">
        <v>0</v>
      </c>
      <c r="BB7" s="148"/>
    </row>
    <row r="8" spans="2:54" x14ac:dyDescent="0.2">
      <c r="B8" s="403" t="s">
        <v>186</v>
      </c>
      <c r="C8" s="412" t="s">
        <v>542</v>
      </c>
      <c r="D8" s="411"/>
      <c r="E8" s="411"/>
      <c r="F8" s="401"/>
      <c r="G8" s="401"/>
      <c r="H8" s="401"/>
      <c r="I8" s="401"/>
      <c r="J8" s="406"/>
      <c r="K8" s="406"/>
      <c r="L8" s="402">
        <f>(G8-F8)+(I8-H8)+(K8-J8)</f>
        <v>0</v>
      </c>
      <c r="M8" s="402">
        <f>M7+L8</f>
        <v>0</v>
      </c>
      <c r="N8" s="407">
        <f>IF(Sep!$H$47="x",AV8+Sep!$N$36,AV8)</f>
        <v>6.9666666666666632</v>
      </c>
      <c r="O8" s="408" t="str">
        <f t="shared" ref="O8:O37" si="2">IF((M8-N8-U$4)&lt;0,"-","+")</f>
        <v>-</v>
      </c>
      <c r="P8" s="409">
        <f t="shared" ref="P8:P37" si="3">ABS(M8-N8-U$4)</f>
        <v>6.9666666666666632</v>
      </c>
      <c r="Q8" s="410">
        <f t="shared" ref="Q8:Q37" si="4">AQ8</f>
        <v>0</v>
      </c>
      <c r="R8" s="410">
        <f t="shared" ref="R8:R37" si="5">AR8</f>
        <v>0</v>
      </c>
      <c r="S8" s="410">
        <f t="shared" ref="S8:S37" si="6">AS8</f>
        <v>0</v>
      </c>
      <c r="T8" s="410">
        <f t="shared" ref="T8:T37" si="7">AP8</f>
        <v>0</v>
      </c>
      <c r="U8" s="407">
        <f t="shared" ref="U8:U37" si="8">IF($Z$3="x",AD8,)</f>
        <v>0</v>
      </c>
      <c r="V8" s="407">
        <f>L8</f>
        <v>0</v>
      </c>
      <c r="W8" s="402">
        <f t="shared" ref="W8:W37" si="9">IF($X$3="x",AF8,)</f>
        <v>0</v>
      </c>
      <c r="X8" s="402">
        <f t="shared" ref="X8:X37" si="10">IF($X$3="x",AG8,)</f>
        <v>0</v>
      </c>
      <c r="Y8" s="401"/>
      <c r="Z8" s="401"/>
      <c r="AA8" s="411"/>
      <c r="AB8" s="420">
        <f>IF((G8&gt;$AD$3)*AND(F8&lt;=$AD$3),G8-$AD$3,)+IF(F8&gt;$AD$3,G8-F8,)+IF((I8&gt;$AD$3)*AND(H8&lt;=$AD$3),I8-$AD$3,)+IF((H8&gt;$AD$3),I8-H8,)+IF((K8&gt;$AD$3)*AND(J8&lt;=$AD$3),K8-$AD$3,)+IF((J8&gt;$AD$3),K8-J8,)</f>
        <v>0</v>
      </c>
      <c r="AC8" s="420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20">
        <f>AB8+AC8</f>
        <v>0</v>
      </c>
      <c r="AE8" s="420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21">
        <f>AB8-AE8</f>
        <v>0</v>
      </c>
      <c r="AG8" s="420">
        <f>AI8+AE8</f>
        <v>0</v>
      </c>
      <c r="AH8" s="421">
        <f>AD8</f>
        <v>0</v>
      </c>
      <c r="AI8" s="420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22">
        <f>IF((D8&lt;&gt;""),VLOOKUP(D8,Données!$E$36:$H$59,4,FALSE),)</f>
        <v>0</v>
      </c>
      <c r="AK8" s="422">
        <f t="shared" si="0"/>
        <v>0</v>
      </c>
      <c r="AL8" s="423">
        <f>IF(L8&gt;0,D8,0)</f>
        <v>0</v>
      </c>
      <c r="AM8" s="424">
        <f>IF((E8="X")*OR(E8="x"),1,0)</f>
        <v>0</v>
      </c>
      <c r="AN8" s="425">
        <f t="shared" ref="AN8:AN37" si="11">IF(D8="F",1,)+IF((D8="JP")*AND(((G8-F8)+(I8-H8)+(K8-J8))&gt;0),1,0)</f>
        <v>0</v>
      </c>
      <c r="AO8" s="422">
        <f t="shared" ref="AO8:AO37" si="12">IF((D8="JP")*AND(((G8-F8)+(I8-H8)+(K8-J8))=0),"07:36",0)</f>
        <v>0</v>
      </c>
      <c r="AP8" s="426">
        <f>IF((F8&lt;=$AQ$2)*AND(G8&gt;=$AQ$3),1,)+IF((H8&lt;=$AQ$2)*AND(I8&gt;=$AQ$3),1,)+IF((J8&lt;=$AQ$2)*AND(K8&gt;=$AQ$3),1,)</f>
        <v>0</v>
      </c>
      <c r="AQ8" s="426">
        <f>IF((F8&lt;=$AR$2)*AND(G8&gt;=$AR$3),1,)+IF((H8&lt;=$AR$2)*AND(I8&gt;=$AR$3),1,)+IF((J8&lt;=$AR$2)*AND(K8&gt;=$AR$3),1,)</f>
        <v>0</v>
      </c>
      <c r="AR8" s="426">
        <f>IF((F8&lt;=$AS$2)*AND(G8&gt;=$AS$3),1,)+IF((H8&lt;=$AS$2)*AND(I8&gt;=$AS$3),1,)+IF((J8&lt;=$AS$2)*AND(K8&gt;=$AS$3),1,)</f>
        <v>0</v>
      </c>
      <c r="AS8" s="426">
        <f>IF((F8=$AT$2)*AND(G8&gt;=$AT$3),1,)+IF((H8=$AT$2)*AND(I8&gt;=$AT$3),1,)+IF((J8=$AT$2)*AND(K8&gt;=$AT$3),1,)</f>
        <v>0</v>
      </c>
      <c r="AT8" s="424">
        <f t="shared" ref="AT8:AT37" si="13">IF((E8="me")*OR(E8="ME"),1,0)</f>
        <v>0</v>
      </c>
      <c r="AU8" s="424">
        <f t="shared" ref="AU8:AU37" si="14">IF((E8="M")*OR(E8="m"),1,0)</f>
        <v>0</v>
      </c>
      <c r="AV8" s="402">
        <f>IF(Données!$H$8="x",AW8,AX8)</f>
        <v>0</v>
      </c>
      <c r="AW8" s="402">
        <f t="shared" si="1"/>
        <v>0</v>
      </c>
      <c r="AX8" s="402">
        <f>AX7</f>
        <v>0</v>
      </c>
      <c r="AY8" s="403" t="str">
        <f t="shared" ref="AY8:AY37" si="15">B8</f>
        <v>Di</v>
      </c>
      <c r="AZ8" s="423">
        <f>IF((S40="HAU2")*AND(S41&lt;&gt;""),VLOOKUP(S41,Échelle!$T$5:$U$31,2),)</f>
        <v>0</v>
      </c>
      <c r="BA8" s="424" t="s">
        <v>1</v>
      </c>
      <c r="BB8" s="148"/>
    </row>
    <row r="9" spans="2:54" x14ac:dyDescent="0.2">
      <c r="B9" s="467" t="s">
        <v>188</v>
      </c>
      <c r="C9" s="468" t="s">
        <v>543</v>
      </c>
      <c r="D9" s="469"/>
      <c r="E9" s="469"/>
      <c r="F9" s="470"/>
      <c r="G9" s="470"/>
      <c r="H9" s="470"/>
      <c r="I9" s="470"/>
      <c r="J9" s="487"/>
      <c r="K9" s="487"/>
      <c r="L9" s="471">
        <f t="shared" ref="L9:L34" si="16">(G9-F9)+(I9-H9)+(K9-J9)+AJ9+AO9</f>
        <v>0</v>
      </c>
      <c r="M9" s="471">
        <f>M8+L9</f>
        <v>0</v>
      </c>
      <c r="N9" s="488">
        <f>IF(Sep!$H$47="x",AV9+Sep!$N$36,AV9)</f>
        <v>7.2833333333333297</v>
      </c>
      <c r="O9" s="483" t="str">
        <f t="shared" si="2"/>
        <v>-</v>
      </c>
      <c r="P9" s="489">
        <f t="shared" si="3"/>
        <v>7.2833333333333297</v>
      </c>
      <c r="Q9" s="474">
        <f t="shared" si="4"/>
        <v>0</v>
      </c>
      <c r="R9" s="474">
        <f t="shared" si="5"/>
        <v>0</v>
      </c>
      <c r="S9" s="474">
        <f t="shared" si="6"/>
        <v>0</v>
      </c>
      <c r="T9" s="474">
        <f t="shared" si="7"/>
        <v>0</v>
      </c>
      <c r="U9" s="488">
        <f t="shared" si="8"/>
        <v>0</v>
      </c>
      <c r="V9" s="488">
        <f t="shared" ref="V9:V13" si="17">IF(D9="F",L9,0)</f>
        <v>0</v>
      </c>
      <c r="W9" s="471">
        <f t="shared" si="9"/>
        <v>0</v>
      </c>
      <c r="X9" s="471">
        <f t="shared" si="10"/>
        <v>0</v>
      </c>
      <c r="Y9" s="470"/>
      <c r="Z9" s="470"/>
      <c r="AA9" s="469"/>
      <c r="AB9" s="475">
        <f t="shared" ref="AB9:AB37" si="18">IF((G9&gt;$AD$3)*AND(F9&lt;=$AD$3),G9-$AD$3,)+IF(F9&gt;$AD$3,G9-F9,)+IF((I9&gt;$AD$3)*AND(H9&lt;=$AD$3),I9-$AD$3,)+IF((H9&gt;$AD$3),I9-H9,)+IF((K9&gt;$AD$3)*AND(J9&lt;=$AD$3),K9-$AD$3,)+IF((J9&gt;$AD$3),K9-J9,)</f>
        <v>0</v>
      </c>
      <c r="AC9" s="475">
        <f t="shared" ref="AC9:AC37" si="19">IF((G9&gt;=$AD$1)*AND(F9&lt;$AD$1),($AD$1)-F9,)+IF((G9&lt;$AD$1),G9-F9,)+IF((I9&gt;=$AD$1)*AND(H9&lt;$AD$1),($AD$1)-H9,)+IF((I9&lt;$AD$1),I9-H9,)+IF((K9&gt;=$AD$1)*AND(J9&lt;$AD$1),($AD$1)-J9,)+IF((K9&lt;$AD$1),K9-J9,)</f>
        <v>0</v>
      </c>
      <c r="AD9" s="475">
        <f t="shared" ref="AD9:AD37" si="20">AB9+AC9</f>
        <v>0</v>
      </c>
      <c r="AE9" s="475">
        <f t="shared" ref="AE9:AE37" si="21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76">
        <f t="shared" ref="AF9:AF37" si="22">AB9-AE9</f>
        <v>0</v>
      </c>
      <c r="AG9" s="475">
        <f t="shared" ref="AG9:AG37" si="23">AI9+AE9</f>
        <v>0</v>
      </c>
      <c r="AH9" s="476">
        <f t="shared" ref="AH9:AH37" si="24">AD9</f>
        <v>0</v>
      </c>
      <c r="AI9" s="475">
        <f t="shared" ref="AI9:AI37" si="25">IF((G9&gt;=$AD$2)*AND(F9&lt;$AD$2),($AD$2)-F9,)+IF((G9&lt;$AD$2),G9-F9,)+IF((I9&gt;=$AD$2)*AND(H9&lt;$AD$2),($AD$2)-H9,)+IF((I9&lt;$AD$2),I9-H9,)+IF((K9&gt;=$AD$2)*AND(J9&lt;$AD$2),($AD$2)-J9,)+IF((K9&lt;$AD$2),K9-J9,)</f>
        <v>0</v>
      </c>
      <c r="AJ9" s="477">
        <f>IF((D9&lt;&gt;""),VLOOKUP(D9,Données!$E$36:$H$59,4,FALSE),)</f>
        <v>0</v>
      </c>
      <c r="AK9" s="477">
        <f t="shared" si="0"/>
        <v>0</v>
      </c>
      <c r="AL9" s="478">
        <f>IF(L9&gt;0,D9,0)</f>
        <v>0</v>
      </c>
      <c r="AM9" s="479">
        <f>IF((E9="X")*OR(E9="x"),1,0)</f>
        <v>0</v>
      </c>
      <c r="AN9" s="480">
        <f t="shared" si="11"/>
        <v>0</v>
      </c>
      <c r="AO9" s="477">
        <f t="shared" si="12"/>
        <v>0</v>
      </c>
      <c r="AP9" s="481">
        <f>IF((F9&lt;=$AQ$2)*AND(G9&gt;=$AQ$3),1,)+IF((H9&lt;=$AQ$2)*AND(I9&gt;=$AQ$3),1,)+IF((J9&lt;=$AQ$2)*AND(K9&gt;=$AQ$3),1,)</f>
        <v>0</v>
      </c>
      <c r="AQ9" s="481">
        <f>IF((F9&lt;=$AR$2)*AND(G9&gt;=$AR$3),1,)+IF((H9&lt;=$AR$2)*AND(I9&gt;=$AR$3),1,)+IF((J9&lt;=$AR$2)*AND(K9&gt;=$AR$3),1,)</f>
        <v>0</v>
      </c>
      <c r="AR9" s="481">
        <f>IF((F9&lt;=$AS$2)*AND(G9&gt;=$AS$3),1,)+IF((H9&lt;=$AS$2)*AND(I9&gt;=$AS$3),1,)+IF((J9&lt;=$AS$2)*AND(K9&gt;=$AS$3),1,)</f>
        <v>0</v>
      </c>
      <c r="AS9" s="481">
        <f>IF((F9=$AT$2)*AND(G9&gt;=$AT$3),1,)+IF((H9=$AT$2)*AND(I9&gt;=$AT$3),1,)+IF((J9=$AT$2)*AND(K9&gt;=$AT$3),1,)</f>
        <v>0</v>
      </c>
      <c r="AT9" s="479">
        <f t="shared" si="13"/>
        <v>0</v>
      </c>
      <c r="AU9" s="479">
        <f t="shared" si="14"/>
        <v>0</v>
      </c>
      <c r="AV9" s="471">
        <f>IF(Données!$H$8="x",AW9,AX9)</f>
        <v>0.31666666666666665</v>
      </c>
      <c r="AW9" s="471">
        <f t="shared" si="1"/>
        <v>0.15833333333333333</v>
      </c>
      <c r="AX9" s="471">
        <f t="shared" ref="AX9:AX13" si="26">IF(D9="L",AX8,(AX8+"07:36"))</f>
        <v>0.31666666666666665</v>
      </c>
      <c r="AY9" s="467" t="str">
        <f t="shared" si="15"/>
        <v>Lu</v>
      </c>
      <c r="AZ9" s="7">
        <f>IF((S40="HAU3")*AND(S41&lt;&gt;""),VLOOKUP(S41,Échelle!$W$5:$X$31,2),)</f>
        <v>0</v>
      </c>
      <c r="BA9" s="4" t="s">
        <v>2</v>
      </c>
      <c r="BB9" s="148"/>
    </row>
    <row r="10" spans="2:54" x14ac:dyDescent="0.2">
      <c r="B10" s="467" t="s">
        <v>176</v>
      </c>
      <c r="C10" s="468" t="s">
        <v>544</v>
      </c>
      <c r="D10" s="469"/>
      <c r="E10" s="469"/>
      <c r="F10" s="470"/>
      <c r="G10" s="470"/>
      <c r="H10" s="470"/>
      <c r="I10" s="470"/>
      <c r="J10" s="487"/>
      <c r="K10" s="487"/>
      <c r="L10" s="471">
        <f t="shared" si="16"/>
        <v>0</v>
      </c>
      <c r="M10" s="471">
        <f t="shared" ref="M10:M37" si="27">M9+L10</f>
        <v>0</v>
      </c>
      <c r="N10" s="488">
        <f>IF(Sep!$H$47="x",AV10+Sep!$N$36,AV10)</f>
        <v>7.5999999999999961</v>
      </c>
      <c r="O10" s="483" t="str">
        <f t="shared" si="2"/>
        <v>-</v>
      </c>
      <c r="P10" s="489">
        <f t="shared" si="3"/>
        <v>7.5999999999999961</v>
      </c>
      <c r="Q10" s="474">
        <f t="shared" si="4"/>
        <v>0</v>
      </c>
      <c r="R10" s="474">
        <f t="shared" si="5"/>
        <v>0</v>
      </c>
      <c r="S10" s="474">
        <f t="shared" si="6"/>
        <v>0</v>
      </c>
      <c r="T10" s="474">
        <f t="shared" si="7"/>
        <v>0</v>
      </c>
      <c r="U10" s="488">
        <f t="shared" si="8"/>
        <v>0</v>
      </c>
      <c r="V10" s="488">
        <f t="shared" si="17"/>
        <v>0</v>
      </c>
      <c r="W10" s="471">
        <f t="shared" si="9"/>
        <v>0</v>
      </c>
      <c r="X10" s="471">
        <f t="shared" si="10"/>
        <v>0</v>
      </c>
      <c r="Y10" s="470"/>
      <c r="Z10" s="470"/>
      <c r="AA10" s="469"/>
      <c r="AB10" s="475">
        <f t="shared" si="18"/>
        <v>0</v>
      </c>
      <c r="AC10" s="475">
        <f t="shared" si="19"/>
        <v>0</v>
      </c>
      <c r="AD10" s="475">
        <f t="shared" si="20"/>
        <v>0</v>
      </c>
      <c r="AE10" s="475">
        <f t="shared" si="21"/>
        <v>0</v>
      </c>
      <c r="AF10" s="476">
        <f t="shared" si="22"/>
        <v>0</v>
      </c>
      <c r="AG10" s="475">
        <f t="shared" si="23"/>
        <v>0</v>
      </c>
      <c r="AH10" s="476">
        <f t="shared" si="24"/>
        <v>0</v>
      </c>
      <c r="AI10" s="475">
        <f t="shared" si="25"/>
        <v>0</v>
      </c>
      <c r="AJ10" s="477">
        <f>IF((D10&lt;&gt;""),VLOOKUP(D10,Données!$E$36:$H$59,4,FALSE),)</f>
        <v>0</v>
      </c>
      <c r="AK10" s="477">
        <f t="shared" si="0"/>
        <v>0</v>
      </c>
      <c r="AL10" s="478">
        <f t="shared" ref="AL10:AL37" si="28">IF(L10&gt;0,D10,0)</f>
        <v>0</v>
      </c>
      <c r="AM10" s="479">
        <f t="shared" ref="AM10:AM37" si="29">IF((E10="X")*OR(E10="x"),1,0)</f>
        <v>0</v>
      </c>
      <c r="AN10" s="480">
        <f t="shared" si="11"/>
        <v>0</v>
      </c>
      <c r="AO10" s="477">
        <f t="shared" si="12"/>
        <v>0</v>
      </c>
      <c r="AP10" s="481">
        <f t="shared" ref="AP10:AP37" si="30">IF((F10&lt;=$AQ$2)*AND(G10&gt;=$AQ$3),1,)+IF((H10&lt;=$AQ$2)*AND(I10&gt;=$AQ$3),1,)+IF((J10&lt;=$AQ$2)*AND(K10&gt;=$AQ$3),1,)</f>
        <v>0</v>
      </c>
      <c r="AQ10" s="481">
        <f t="shared" ref="AQ10:AQ37" si="31">IF((F10&lt;=$AR$2)*AND(G10&gt;=$AR$3),1,)+IF((H10&lt;=$AR$2)*AND(I10&gt;=$AR$3),1,)+IF((J10&lt;=$AR$2)*AND(K10&gt;=$AR$3),1,)</f>
        <v>0</v>
      </c>
      <c r="AR10" s="481">
        <f t="shared" ref="AR10:AR37" si="32">IF((F10&lt;=$AS$2)*AND(G10&gt;=$AS$3),1,)+IF((H10&lt;=$AS$2)*AND(I10&gt;=$AS$3),1,)+IF((J10&lt;=$AS$2)*AND(K10&gt;=$AS$3),1,)</f>
        <v>0</v>
      </c>
      <c r="AS10" s="481">
        <f t="shared" ref="AS10:AS37" si="33">IF((F10=$AT$2)*AND(G10&gt;=$AT$3),1,)+IF((H10=$AT$2)*AND(I10&gt;=$AT$3),1,)+IF((J10=$AT$2)*AND(K10&gt;=$AT$3),1,)</f>
        <v>0</v>
      </c>
      <c r="AT10" s="479">
        <f t="shared" si="13"/>
        <v>0</v>
      </c>
      <c r="AU10" s="479">
        <f t="shared" si="14"/>
        <v>0</v>
      </c>
      <c r="AV10" s="471">
        <f>IF(Données!$H$8="x",AW10,AX10)</f>
        <v>0.6333333333333333</v>
      </c>
      <c r="AW10" s="471">
        <f t="shared" si="1"/>
        <v>0.31666666666666665</v>
      </c>
      <c r="AX10" s="471">
        <f t="shared" si="26"/>
        <v>0.6333333333333333</v>
      </c>
      <c r="AY10" s="467" t="str">
        <f t="shared" si="15"/>
        <v>Ma</v>
      </c>
      <c r="AZ10" s="7">
        <f>IF((S40="B1")*AND(S41&lt;&gt;""),VLOOKUP(S41,Échelle!$Z$5:$AA$31,2),)</f>
        <v>0</v>
      </c>
      <c r="BA10" s="4" t="s">
        <v>3</v>
      </c>
      <c r="BB10" s="148"/>
    </row>
    <row r="11" spans="2:54" x14ac:dyDescent="0.2">
      <c r="B11" s="467" t="s">
        <v>178</v>
      </c>
      <c r="C11" s="468" t="s">
        <v>545</v>
      </c>
      <c r="D11" s="469"/>
      <c r="E11" s="469"/>
      <c r="F11" s="470"/>
      <c r="G11" s="470"/>
      <c r="H11" s="470"/>
      <c r="I11" s="470"/>
      <c r="J11" s="487"/>
      <c r="K11" s="487"/>
      <c r="L11" s="471">
        <f t="shared" si="16"/>
        <v>0</v>
      </c>
      <c r="M11" s="471">
        <f t="shared" si="27"/>
        <v>0</v>
      </c>
      <c r="N11" s="488">
        <f>IF(Sep!$H$47="x",AV11+Sep!$N$36,AV11)</f>
        <v>7.9166666666666634</v>
      </c>
      <c r="O11" s="483" t="str">
        <f t="shared" si="2"/>
        <v>-</v>
      </c>
      <c r="P11" s="489">
        <f t="shared" si="3"/>
        <v>7.9166666666666634</v>
      </c>
      <c r="Q11" s="474">
        <f t="shared" si="4"/>
        <v>0</v>
      </c>
      <c r="R11" s="474">
        <f t="shared" si="5"/>
        <v>0</v>
      </c>
      <c r="S11" s="474">
        <f t="shared" si="6"/>
        <v>0</v>
      </c>
      <c r="T11" s="474">
        <f t="shared" si="7"/>
        <v>0</v>
      </c>
      <c r="U11" s="488">
        <f t="shared" si="8"/>
        <v>0</v>
      </c>
      <c r="V11" s="488">
        <f t="shared" si="17"/>
        <v>0</v>
      </c>
      <c r="W11" s="471">
        <f t="shared" si="9"/>
        <v>0</v>
      </c>
      <c r="X11" s="471">
        <f t="shared" si="10"/>
        <v>0</v>
      </c>
      <c r="Y11" s="470"/>
      <c r="Z11" s="470"/>
      <c r="AA11" s="469"/>
      <c r="AB11" s="475">
        <f t="shared" si="18"/>
        <v>0</v>
      </c>
      <c r="AC11" s="475">
        <f t="shared" si="19"/>
        <v>0</v>
      </c>
      <c r="AD11" s="475">
        <f t="shared" si="20"/>
        <v>0</v>
      </c>
      <c r="AE11" s="475">
        <f t="shared" si="21"/>
        <v>0</v>
      </c>
      <c r="AF11" s="476">
        <f t="shared" si="22"/>
        <v>0</v>
      </c>
      <c r="AG11" s="475">
        <f t="shared" si="23"/>
        <v>0</v>
      </c>
      <c r="AH11" s="476">
        <f t="shared" si="24"/>
        <v>0</v>
      </c>
      <c r="AI11" s="475">
        <f t="shared" si="25"/>
        <v>0</v>
      </c>
      <c r="AJ11" s="477">
        <f>IF((D11&lt;&gt;""),VLOOKUP(D11,Données!$E$36:$H$59,4,FALSE),)</f>
        <v>0</v>
      </c>
      <c r="AK11" s="477">
        <f t="shared" si="0"/>
        <v>0</v>
      </c>
      <c r="AL11" s="478">
        <f t="shared" si="28"/>
        <v>0</v>
      </c>
      <c r="AM11" s="479">
        <f t="shared" si="29"/>
        <v>0</v>
      </c>
      <c r="AN11" s="480">
        <f t="shared" si="11"/>
        <v>0</v>
      </c>
      <c r="AO11" s="477">
        <f t="shared" si="12"/>
        <v>0</v>
      </c>
      <c r="AP11" s="481">
        <f t="shared" si="30"/>
        <v>0</v>
      </c>
      <c r="AQ11" s="481">
        <f t="shared" si="31"/>
        <v>0</v>
      </c>
      <c r="AR11" s="481">
        <f t="shared" si="32"/>
        <v>0</v>
      </c>
      <c r="AS11" s="481">
        <f t="shared" si="33"/>
        <v>0</v>
      </c>
      <c r="AT11" s="479">
        <f t="shared" si="13"/>
        <v>0</v>
      </c>
      <c r="AU11" s="479">
        <f t="shared" si="14"/>
        <v>0</v>
      </c>
      <c r="AV11" s="471">
        <f>IF(Données!$H$8="x",AW11,AX11)</f>
        <v>0.95</v>
      </c>
      <c r="AW11" s="471">
        <f t="shared" si="1"/>
        <v>0.47499999999999998</v>
      </c>
      <c r="AX11" s="471">
        <f t="shared" si="26"/>
        <v>0.95</v>
      </c>
      <c r="AY11" s="467" t="str">
        <f t="shared" si="15"/>
        <v>Me</v>
      </c>
      <c r="AZ11" s="7">
        <f>IF((S40="B2")*AND(S41&lt;&gt;""),VLOOKUP(S41,Échelle!$AC$5:$AD$31,2),)</f>
        <v>0</v>
      </c>
      <c r="BA11" s="4" t="s">
        <v>4</v>
      </c>
      <c r="BB11" s="148"/>
    </row>
    <row r="12" spans="2:54" x14ac:dyDescent="0.2">
      <c r="B12" s="467" t="s">
        <v>180</v>
      </c>
      <c r="C12" s="468" t="s">
        <v>546</v>
      </c>
      <c r="D12" s="469"/>
      <c r="E12" s="469"/>
      <c r="F12" s="470"/>
      <c r="G12" s="470"/>
      <c r="H12" s="470"/>
      <c r="I12" s="470"/>
      <c r="J12" s="487"/>
      <c r="K12" s="487"/>
      <c r="L12" s="471">
        <f t="shared" si="16"/>
        <v>0</v>
      </c>
      <c r="M12" s="471">
        <f t="shared" si="27"/>
        <v>0</v>
      </c>
      <c r="N12" s="488">
        <f>IF(Sep!$H$47="x",AV12+Sep!$N$36,AV12)</f>
        <v>8.2333333333333307</v>
      </c>
      <c r="O12" s="483" t="str">
        <f t="shared" si="2"/>
        <v>-</v>
      </c>
      <c r="P12" s="489">
        <f t="shared" si="3"/>
        <v>8.2333333333333307</v>
      </c>
      <c r="Q12" s="474">
        <f t="shared" si="4"/>
        <v>0</v>
      </c>
      <c r="R12" s="474">
        <f t="shared" si="5"/>
        <v>0</v>
      </c>
      <c r="S12" s="474">
        <f t="shared" si="6"/>
        <v>0</v>
      </c>
      <c r="T12" s="474">
        <f t="shared" si="7"/>
        <v>0</v>
      </c>
      <c r="U12" s="488">
        <f t="shared" si="8"/>
        <v>0</v>
      </c>
      <c r="V12" s="488">
        <f t="shared" si="17"/>
        <v>0</v>
      </c>
      <c r="W12" s="471">
        <f t="shared" si="9"/>
        <v>0</v>
      </c>
      <c r="X12" s="471">
        <f t="shared" si="10"/>
        <v>0</v>
      </c>
      <c r="Y12" s="470"/>
      <c r="Z12" s="470"/>
      <c r="AA12" s="469"/>
      <c r="AB12" s="475">
        <f t="shared" si="18"/>
        <v>0</v>
      </c>
      <c r="AC12" s="475">
        <f t="shared" si="19"/>
        <v>0</v>
      </c>
      <c r="AD12" s="475">
        <f t="shared" si="20"/>
        <v>0</v>
      </c>
      <c r="AE12" s="475">
        <f t="shared" si="21"/>
        <v>0</v>
      </c>
      <c r="AF12" s="476">
        <f t="shared" si="22"/>
        <v>0</v>
      </c>
      <c r="AG12" s="475">
        <f t="shared" si="23"/>
        <v>0</v>
      </c>
      <c r="AH12" s="476">
        <f t="shared" si="24"/>
        <v>0</v>
      </c>
      <c r="AI12" s="475">
        <f t="shared" si="25"/>
        <v>0</v>
      </c>
      <c r="AJ12" s="477">
        <f>IF((D12&lt;&gt;""),VLOOKUP(D12,Données!$E$36:$H$59,4,FALSE),)</f>
        <v>0</v>
      </c>
      <c r="AK12" s="477">
        <f t="shared" si="0"/>
        <v>0</v>
      </c>
      <c r="AL12" s="478">
        <f t="shared" si="28"/>
        <v>0</v>
      </c>
      <c r="AM12" s="479">
        <f t="shared" si="29"/>
        <v>0</v>
      </c>
      <c r="AN12" s="480">
        <f t="shared" si="11"/>
        <v>0</v>
      </c>
      <c r="AO12" s="477">
        <f t="shared" si="12"/>
        <v>0</v>
      </c>
      <c r="AP12" s="481">
        <f t="shared" si="30"/>
        <v>0</v>
      </c>
      <c r="AQ12" s="481">
        <f t="shared" si="31"/>
        <v>0</v>
      </c>
      <c r="AR12" s="481">
        <f t="shared" si="32"/>
        <v>0</v>
      </c>
      <c r="AS12" s="481">
        <f t="shared" si="33"/>
        <v>0</v>
      </c>
      <c r="AT12" s="479">
        <f t="shared" si="13"/>
        <v>0</v>
      </c>
      <c r="AU12" s="479">
        <f t="shared" si="14"/>
        <v>0</v>
      </c>
      <c r="AV12" s="471">
        <f>IF(Données!$H$8="x",AW12,AX12)</f>
        <v>1.2666666666666666</v>
      </c>
      <c r="AW12" s="471">
        <f t="shared" si="1"/>
        <v>0.6333333333333333</v>
      </c>
      <c r="AX12" s="471">
        <f t="shared" si="26"/>
        <v>1.2666666666666666</v>
      </c>
      <c r="AY12" s="467" t="str">
        <f t="shared" si="15"/>
        <v>Je</v>
      </c>
      <c r="AZ12" s="7">
        <f>IF((S40="B3")*AND(S41&lt;&gt;""),VLOOKUP(S41,Échelle!$AF$5:$AG$31,2),)</f>
        <v>0</v>
      </c>
      <c r="BA12" s="4" t="s">
        <v>5</v>
      </c>
      <c r="BB12" s="148"/>
    </row>
    <row r="13" spans="2:54" x14ac:dyDescent="0.2">
      <c r="B13" s="467" t="s">
        <v>182</v>
      </c>
      <c r="C13" s="485" t="s">
        <v>547</v>
      </c>
      <c r="D13" s="486"/>
      <c r="E13" s="486"/>
      <c r="F13" s="470"/>
      <c r="G13" s="470"/>
      <c r="H13" s="470"/>
      <c r="I13" s="470"/>
      <c r="J13" s="487"/>
      <c r="K13" s="487"/>
      <c r="L13" s="471">
        <f t="shared" si="16"/>
        <v>0</v>
      </c>
      <c r="M13" s="471">
        <f>M12+L13</f>
        <v>0</v>
      </c>
      <c r="N13" s="488">
        <f>IF(Sep!$H$47="x",AV13+Sep!$N$36,AV13)</f>
        <v>8.5499999999999972</v>
      </c>
      <c r="O13" s="483" t="str">
        <f t="shared" si="2"/>
        <v>-</v>
      </c>
      <c r="P13" s="489">
        <f t="shared" si="3"/>
        <v>8.5499999999999972</v>
      </c>
      <c r="Q13" s="474">
        <f t="shared" si="4"/>
        <v>0</v>
      </c>
      <c r="R13" s="474">
        <f t="shared" si="5"/>
        <v>0</v>
      </c>
      <c r="S13" s="474">
        <f t="shared" si="6"/>
        <v>0</v>
      </c>
      <c r="T13" s="474">
        <f t="shared" si="7"/>
        <v>0</v>
      </c>
      <c r="U13" s="488">
        <f t="shared" si="8"/>
        <v>0</v>
      </c>
      <c r="V13" s="488">
        <f t="shared" si="17"/>
        <v>0</v>
      </c>
      <c r="W13" s="471">
        <f t="shared" si="9"/>
        <v>0</v>
      </c>
      <c r="X13" s="471">
        <f t="shared" si="10"/>
        <v>0</v>
      </c>
      <c r="Y13" s="470"/>
      <c r="Z13" s="470"/>
      <c r="AA13" s="469"/>
      <c r="AB13" s="475">
        <f t="shared" si="18"/>
        <v>0</v>
      </c>
      <c r="AC13" s="475">
        <f t="shared" si="19"/>
        <v>0</v>
      </c>
      <c r="AD13" s="475">
        <f t="shared" si="20"/>
        <v>0</v>
      </c>
      <c r="AE13" s="475">
        <f t="shared" si="21"/>
        <v>0</v>
      </c>
      <c r="AF13" s="476">
        <f t="shared" si="22"/>
        <v>0</v>
      </c>
      <c r="AG13" s="475">
        <f t="shared" si="23"/>
        <v>0</v>
      </c>
      <c r="AH13" s="476">
        <f t="shared" si="24"/>
        <v>0</v>
      </c>
      <c r="AI13" s="475">
        <f t="shared" si="25"/>
        <v>0</v>
      </c>
      <c r="AJ13" s="477">
        <f>IF((D13&lt;&gt;""),VLOOKUP(D13,Données!$E$36:$H$59,4,FALSE),)</f>
        <v>0</v>
      </c>
      <c r="AK13" s="477">
        <f t="shared" si="0"/>
        <v>0</v>
      </c>
      <c r="AL13" s="478">
        <f t="shared" si="28"/>
        <v>0</v>
      </c>
      <c r="AM13" s="479">
        <f t="shared" si="29"/>
        <v>0</v>
      </c>
      <c r="AN13" s="480">
        <f t="shared" si="11"/>
        <v>0</v>
      </c>
      <c r="AO13" s="477">
        <f t="shared" si="12"/>
        <v>0</v>
      </c>
      <c r="AP13" s="481">
        <f t="shared" si="30"/>
        <v>0</v>
      </c>
      <c r="AQ13" s="481">
        <f t="shared" si="31"/>
        <v>0</v>
      </c>
      <c r="AR13" s="481">
        <f t="shared" si="32"/>
        <v>0</v>
      </c>
      <c r="AS13" s="481">
        <f t="shared" si="33"/>
        <v>0</v>
      </c>
      <c r="AT13" s="479">
        <f t="shared" si="13"/>
        <v>0</v>
      </c>
      <c r="AU13" s="479">
        <f t="shared" si="14"/>
        <v>0</v>
      </c>
      <c r="AV13" s="471">
        <f>IF(Données!$H$8="x",AW13,AX13)</f>
        <v>1.5833333333333333</v>
      </c>
      <c r="AW13" s="471">
        <f t="shared" si="1"/>
        <v>0.79166666666666663</v>
      </c>
      <c r="AX13" s="471">
        <f t="shared" si="26"/>
        <v>1.5833333333333333</v>
      </c>
      <c r="AY13" s="467" t="str">
        <f t="shared" si="15"/>
        <v>Ve</v>
      </c>
      <c r="AZ13" s="7">
        <f>IF((S40="B4")*AND(S41&lt;&gt;""),VLOOKUP(S41,Échelle!AI$5:AJ$34,2),)</f>
        <v>0</v>
      </c>
      <c r="BA13" s="4" t="s">
        <v>6</v>
      </c>
      <c r="BB13" s="148"/>
    </row>
    <row r="14" spans="2:54" x14ac:dyDescent="0.2">
      <c r="B14" s="403" t="s">
        <v>184</v>
      </c>
      <c r="C14" s="412" t="s">
        <v>548</v>
      </c>
      <c r="D14" s="411"/>
      <c r="E14" s="411"/>
      <c r="F14" s="401"/>
      <c r="G14" s="401"/>
      <c r="H14" s="401"/>
      <c r="I14" s="401"/>
      <c r="J14" s="516"/>
      <c r="K14" s="516"/>
      <c r="L14" s="402">
        <f>(G14-F14)+(I14-H14)+(K14-J14)</f>
        <v>0</v>
      </c>
      <c r="M14" s="402">
        <f>M13+L14</f>
        <v>0</v>
      </c>
      <c r="N14" s="407">
        <f>IF(Sep!$H$47="x",AV14+Sep!$N$36,AV14)</f>
        <v>8.5499999999999972</v>
      </c>
      <c r="O14" s="408" t="str">
        <f t="shared" si="2"/>
        <v>-</v>
      </c>
      <c r="P14" s="409">
        <f t="shared" si="3"/>
        <v>8.5499999999999972</v>
      </c>
      <c r="Q14" s="410">
        <f t="shared" si="4"/>
        <v>0</v>
      </c>
      <c r="R14" s="410">
        <f t="shared" si="5"/>
        <v>0</v>
      </c>
      <c r="S14" s="410">
        <f t="shared" si="6"/>
        <v>0</v>
      </c>
      <c r="T14" s="410">
        <f t="shared" si="7"/>
        <v>0</v>
      </c>
      <c r="U14" s="407">
        <f t="shared" si="8"/>
        <v>0</v>
      </c>
      <c r="V14" s="407">
        <f>L14</f>
        <v>0</v>
      </c>
      <c r="W14" s="402">
        <f t="shared" si="9"/>
        <v>0</v>
      </c>
      <c r="X14" s="402">
        <f t="shared" si="10"/>
        <v>0</v>
      </c>
      <c r="Y14" s="401"/>
      <c r="Z14" s="401"/>
      <c r="AA14" s="411"/>
      <c r="AB14" s="420">
        <f t="shared" si="18"/>
        <v>0</v>
      </c>
      <c r="AC14" s="420">
        <f t="shared" si="19"/>
        <v>0</v>
      </c>
      <c r="AD14" s="420">
        <f t="shared" si="20"/>
        <v>0</v>
      </c>
      <c r="AE14" s="420">
        <f t="shared" si="21"/>
        <v>0</v>
      </c>
      <c r="AF14" s="421">
        <f t="shared" si="22"/>
        <v>0</v>
      </c>
      <c r="AG14" s="420">
        <f t="shared" si="23"/>
        <v>0</v>
      </c>
      <c r="AH14" s="421">
        <f t="shared" si="24"/>
        <v>0</v>
      </c>
      <c r="AI14" s="420">
        <f t="shared" si="25"/>
        <v>0</v>
      </c>
      <c r="AJ14" s="422">
        <f>IF((D14&lt;&gt;""),VLOOKUP(D14,Données!$E$36:$H$59,4,FALSE),)</f>
        <v>0</v>
      </c>
      <c r="AK14" s="422">
        <f t="shared" si="0"/>
        <v>0</v>
      </c>
      <c r="AL14" s="423">
        <f t="shared" si="28"/>
        <v>0</v>
      </c>
      <c r="AM14" s="424">
        <f t="shared" si="29"/>
        <v>0</v>
      </c>
      <c r="AN14" s="425">
        <f t="shared" si="11"/>
        <v>0</v>
      </c>
      <c r="AO14" s="422">
        <f t="shared" si="12"/>
        <v>0</v>
      </c>
      <c r="AP14" s="426">
        <f t="shared" si="30"/>
        <v>0</v>
      </c>
      <c r="AQ14" s="426">
        <f t="shared" si="31"/>
        <v>0</v>
      </c>
      <c r="AR14" s="426">
        <f t="shared" si="32"/>
        <v>0</v>
      </c>
      <c r="AS14" s="426">
        <f t="shared" si="33"/>
        <v>0</v>
      </c>
      <c r="AT14" s="424">
        <f t="shared" si="13"/>
        <v>0</v>
      </c>
      <c r="AU14" s="424">
        <f t="shared" si="14"/>
        <v>0</v>
      </c>
      <c r="AV14" s="402">
        <f>IF(Données!$H$8="x",AW14,AX14)</f>
        <v>1.5833333333333333</v>
      </c>
      <c r="AW14" s="402">
        <f t="shared" si="1"/>
        <v>0.79166666666666663</v>
      </c>
      <c r="AX14" s="402">
        <f>AX13</f>
        <v>1.5833333333333333</v>
      </c>
      <c r="AY14" s="403" t="str">
        <f t="shared" si="15"/>
        <v>Sa</v>
      </c>
      <c r="AZ14" s="423">
        <f>IF((S40="B5")*AND(S41&lt;&gt;""),VLOOKUP(S41,Échelle!AL$5:AM$34,2),)</f>
        <v>0</v>
      </c>
      <c r="BA14" s="424" t="s">
        <v>7</v>
      </c>
      <c r="BB14" s="148"/>
    </row>
    <row r="15" spans="2:54" x14ac:dyDescent="0.2">
      <c r="B15" s="403" t="s">
        <v>186</v>
      </c>
      <c r="C15" s="412" t="s">
        <v>549</v>
      </c>
      <c r="D15" s="411"/>
      <c r="E15" s="411"/>
      <c r="F15" s="401"/>
      <c r="G15" s="401"/>
      <c r="H15" s="401"/>
      <c r="I15" s="401"/>
      <c r="J15" s="406"/>
      <c r="K15" s="406"/>
      <c r="L15" s="402">
        <f>(G15-F15)+(I15-H15)+(K15-J15)</f>
        <v>0</v>
      </c>
      <c r="M15" s="402">
        <f t="shared" si="27"/>
        <v>0</v>
      </c>
      <c r="N15" s="407">
        <f>IF(Sep!$H$47="x",AV15+Sep!$N$36,AV15)</f>
        <v>8.5499999999999972</v>
      </c>
      <c r="O15" s="408" t="str">
        <f t="shared" si="2"/>
        <v>-</v>
      </c>
      <c r="P15" s="409">
        <f t="shared" si="3"/>
        <v>8.5499999999999972</v>
      </c>
      <c r="Q15" s="410">
        <f t="shared" si="4"/>
        <v>0</v>
      </c>
      <c r="R15" s="410">
        <f t="shared" si="5"/>
        <v>0</v>
      </c>
      <c r="S15" s="410">
        <f t="shared" si="6"/>
        <v>0</v>
      </c>
      <c r="T15" s="410">
        <f t="shared" si="7"/>
        <v>0</v>
      </c>
      <c r="U15" s="407">
        <f t="shared" si="8"/>
        <v>0</v>
      </c>
      <c r="V15" s="407">
        <f>L15</f>
        <v>0</v>
      </c>
      <c r="W15" s="402">
        <f t="shared" si="9"/>
        <v>0</v>
      </c>
      <c r="X15" s="402">
        <f t="shared" si="10"/>
        <v>0</v>
      </c>
      <c r="Y15" s="401"/>
      <c r="Z15" s="401"/>
      <c r="AA15" s="411"/>
      <c r="AB15" s="420">
        <f t="shared" si="18"/>
        <v>0</v>
      </c>
      <c r="AC15" s="420">
        <f t="shared" si="19"/>
        <v>0</v>
      </c>
      <c r="AD15" s="420">
        <f t="shared" si="20"/>
        <v>0</v>
      </c>
      <c r="AE15" s="420">
        <f t="shared" si="21"/>
        <v>0</v>
      </c>
      <c r="AF15" s="421">
        <f t="shared" si="22"/>
        <v>0</v>
      </c>
      <c r="AG15" s="420">
        <f t="shared" si="23"/>
        <v>0</v>
      </c>
      <c r="AH15" s="421">
        <f t="shared" si="24"/>
        <v>0</v>
      </c>
      <c r="AI15" s="420">
        <f t="shared" si="25"/>
        <v>0</v>
      </c>
      <c r="AJ15" s="422">
        <f>IF((D15&lt;&gt;""),VLOOKUP(D15,Données!$E$36:$H$59,4,FALSE),)</f>
        <v>0</v>
      </c>
      <c r="AK15" s="422">
        <f t="shared" si="0"/>
        <v>0</v>
      </c>
      <c r="AL15" s="423">
        <f t="shared" si="28"/>
        <v>0</v>
      </c>
      <c r="AM15" s="424">
        <f t="shared" si="29"/>
        <v>0</v>
      </c>
      <c r="AN15" s="425">
        <f t="shared" si="11"/>
        <v>0</v>
      </c>
      <c r="AO15" s="422">
        <f t="shared" si="12"/>
        <v>0</v>
      </c>
      <c r="AP15" s="426">
        <f t="shared" si="30"/>
        <v>0</v>
      </c>
      <c r="AQ15" s="426">
        <f t="shared" si="31"/>
        <v>0</v>
      </c>
      <c r="AR15" s="426">
        <f t="shared" si="32"/>
        <v>0</v>
      </c>
      <c r="AS15" s="426">
        <f t="shared" si="33"/>
        <v>0</v>
      </c>
      <c r="AT15" s="424">
        <f t="shared" si="13"/>
        <v>0</v>
      </c>
      <c r="AU15" s="424">
        <f t="shared" si="14"/>
        <v>0</v>
      </c>
      <c r="AV15" s="402">
        <f>IF(Données!$H$8="x",AW15,AX15)</f>
        <v>1.5833333333333333</v>
      </c>
      <c r="AW15" s="402">
        <f t="shared" si="1"/>
        <v>0.79166666666666663</v>
      </c>
      <c r="AX15" s="402">
        <f>AX14</f>
        <v>1.5833333333333333</v>
      </c>
      <c r="AY15" s="403" t="str">
        <f t="shared" si="15"/>
        <v>Di</v>
      </c>
      <c r="AZ15" s="423">
        <f>IF((S40="M1.1")*AND(S41&lt;&gt;""),VLOOKUP(S41,Échelle!$AO$5:$AP$31,2),)</f>
        <v>0</v>
      </c>
      <c r="BA15" s="424" t="s">
        <v>8</v>
      </c>
      <c r="BB15" s="148"/>
    </row>
    <row r="16" spans="2:54" x14ac:dyDescent="0.2">
      <c r="B16" s="467" t="s">
        <v>188</v>
      </c>
      <c r="C16" s="468" t="s">
        <v>550</v>
      </c>
      <c r="D16" s="469"/>
      <c r="E16" s="469"/>
      <c r="F16" s="470"/>
      <c r="G16" s="470"/>
      <c r="H16" s="470"/>
      <c r="I16" s="470"/>
      <c r="J16" s="487"/>
      <c r="K16" s="487"/>
      <c r="L16" s="471">
        <f t="shared" si="16"/>
        <v>0</v>
      </c>
      <c r="M16" s="471">
        <f t="shared" si="27"/>
        <v>0</v>
      </c>
      <c r="N16" s="488">
        <f>IF(Sep!$H$47="x",AV16+Sep!$N$36,AV16)</f>
        <v>8.8666666666666636</v>
      </c>
      <c r="O16" s="483" t="str">
        <f t="shared" si="2"/>
        <v>-</v>
      </c>
      <c r="P16" s="489">
        <f t="shared" si="3"/>
        <v>8.8666666666666636</v>
      </c>
      <c r="Q16" s="474">
        <f t="shared" si="4"/>
        <v>0</v>
      </c>
      <c r="R16" s="474">
        <f t="shared" si="5"/>
        <v>0</v>
      </c>
      <c r="S16" s="474">
        <f t="shared" si="6"/>
        <v>0</v>
      </c>
      <c r="T16" s="474">
        <f t="shared" si="7"/>
        <v>0</v>
      </c>
      <c r="U16" s="488">
        <f t="shared" si="8"/>
        <v>0</v>
      </c>
      <c r="V16" s="488">
        <f t="shared" ref="V16:V20" si="34">IF(D16="F",L16,0)</f>
        <v>0</v>
      </c>
      <c r="W16" s="471">
        <f t="shared" si="9"/>
        <v>0</v>
      </c>
      <c r="X16" s="471">
        <f t="shared" si="10"/>
        <v>0</v>
      </c>
      <c r="Y16" s="470"/>
      <c r="Z16" s="470"/>
      <c r="AA16" s="469"/>
      <c r="AB16" s="475">
        <f t="shared" si="18"/>
        <v>0</v>
      </c>
      <c r="AC16" s="475">
        <f t="shared" si="19"/>
        <v>0</v>
      </c>
      <c r="AD16" s="475">
        <f t="shared" si="20"/>
        <v>0</v>
      </c>
      <c r="AE16" s="475">
        <f t="shared" si="21"/>
        <v>0</v>
      </c>
      <c r="AF16" s="476">
        <f t="shared" si="22"/>
        <v>0</v>
      </c>
      <c r="AG16" s="475">
        <f t="shared" si="23"/>
        <v>0</v>
      </c>
      <c r="AH16" s="476">
        <f t="shared" si="24"/>
        <v>0</v>
      </c>
      <c r="AI16" s="475">
        <f t="shared" si="25"/>
        <v>0</v>
      </c>
      <c r="AJ16" s="477">
        <f>IF((D16&lt;&gt;""),VLOOKUP(D16,Données!$E$36:$H$59,4,FALSE),)</f>
        <v>0</v>
      </c>
      <c r="AK16" s="477">
        <f t="shared" si="0"/>
        <v>0</v>
      </c>
      <c r="AL16" s="478">
        <f t="shared" si="28"/>
        <v>0</v>
      </c>
      <c r="AM16" s="479">
        <f t="shared" si="29"/>
        <v>0</v>
      </c>
      <c r="AN16" s="480">
        <f t="shared" si="11"/>
        <v>0</v>
      </c>
      <c r="AO16" s="477">
        <f t="shared" si="12"/>
        <v>0</v>
      </c>
      <c r="AP16" s="481">
        <f t="shared" si="30"/>
        <v>0</v>
      </c>
      <c r="AQ16" s="481">
        <f t="shared" si="31"/>
        <v>0</v>
      </c>
      <c r="AR16" s="481">
        <f t="shared" si="32"/>
        <v>0</v>
      </c>
      <c r="AS16" s="481">
        <f t="shared" si="33"/>
        <v>0</v>
      </c>
      <c r="AT16" s="479">
        <f t="shared" si="13"/>
        <v>0</v>
      </c>
      <c r="AU16" s="479">
        <f t="shared" si="14"/>
        <v>0</v>
      </c>
      <c r="AV16" s="471">
        <f>IF(Données!$H$8="x",AW16,AX16)</f>
        <v>1.9</v>
      </c>
      <c r="AW16" s="471">
        <f t="shared" si="1"/>
        <v>0.95</v>
      </c>
      <c r="AX16" s="471">
        <f t="shared" ref="AX16:AX20" si="35">IF(D16="L",AX15,(AX15+"07:36"))</f>
        <v>1.9</v>
      </c>
      <c r="AY16" s="467" t="str">
        <f t="shared" si="15"/>
        <v>Lu</v>
      </c>
      <c r="AZ16" s="7">
        <f>IF((S40="M1.2")*AND(S41&lt;&gt;""),VLOOKUP(S41,Échelle!$AR$5:$AS$31,2),)</f>
        <v>0</v>
      </c>
      <c r="BA16" s="4" t="s">
        <v>9</v>
      </c>
      <c r="BB16" s="148"/>
    </row>
    <row r="17" spans="2:54" x14ac:dyDescent="0.2">
      <c r="B17" s="467" t="s">
        <v>176</v>
      </c>
      <c r="C17" s="468" t="s">
        <v>551</v>
      </c>
      <c r="D17" s="469"/>
      <c r="E17" s="469"/>
      <c r="F17" s="470"/>
      <c r="G17" s="470"/>
      <c r="H17" s="470"/>
      <c r="I17" s="470"/>
      <c r="J17" s="487"/>
      <c r="K17" s="487"/>
      <c r="L17" s="471">
        <f t="shared" si="16"/>
        <v>0</v>
      </c>
      <c r="M17" s="471">
        <f t="shared" si="27"/>
        <v>0</v>
      </c>
      <c r="N17" s="488">
        <f>IF(Sep!$H$47="x",AV17+Sep!$N$36,AV17)</f>
        <v>9.18333333333333</v>
      </c>
      <c r="O17" s="483" t="str">
        <f t="shared" si="2"/>
        <v>-</v>
      </c>
      <c r="P17" s="489">
        <f t="shared" si="3"/>
        <v>9.18333333333333</v>
      </c>
      <c r="Q17" s="474">
        <f t="shared" si="4"/>
        <v>0</v>
      </c>
      <c r="R17" s="474">
        <f t="shared" si="5"/>
        <v>0</v>
      </c>
      <c r="S17" s="474">
        <f t="shared" si="6"/>
        <v>0</v>
      </c>
      <c r="T17" s="474">
        <f t="shared" si="7"/>
        <v>0</v>
      </c>
      <c r="U17" s="488">
        <f t="shared" si="8"/>
        <v>0</v>
      </c>
      <c r="V17" s="488">
        <f t="shared" si="34"/>
        <v>0</v>
      </c>
      <c r="W17" s="471">
        <f t="shared" si="9"/>
        <v>0</v>
      </c>
      <c r="X17" s="471">
        <f t="shared" si="10"/>
        <v>0</v>
      </c>
      <c r="Y17" s="470"/>
      <c r="Z17" s="470"/>
      <c r="AA17" s="469"/>
      <c r="AB17" s="475">
        <f t="shared" si="18"/>
        <v>0</v>
      </c>
      <c r="AC17" s="475">
        <f t="shared" si="19"/>
        <v>0</v>
      </c>
      <c r="AD17" s="475">
        <f t="shared" si="20"/>
        <v>0</v>
      </c>
      <c r="AE17" s="475">
        <f t="shared" si="21"/>
        <v>0</v>
      </c>
      <c r="AF17" s="476">
        <f t="shared" si="22"/>
        <v>0</v>
      </c>
      <c r="AG17" s="475">
        <f t="shared" si="23"/>
        <v>0</v>
      </c>
      <c r="AH17" s="476">
        <f t="shared" si="24"/>
        <v>0</v>
      </c>
      <c r="AI17" s="475">
        <f t="shared" si="25"/>
        <v>0</v>
      </c>
      <c r="AJ17" s="477">
        <f>IF((D17&lt;&gt;""),VLOOKUP(D17,Données!$E$36:$H$59,4,FALSE),)</f>
        <v>0</v>
      </c>
      <c r="AK17" s="477">
        <f t="shared" si="0"/>
        <v>0</v>
      </c>
      <c r="AL17" s="478">
        <f t="shared" si="28"/>
        <v>0</v>
      </c>
      <c r="AM17" s="479">
        <f t="shared" si="29"/>
        <v>0</v>
      </c>
      <c r="AN17" s="480">
        <f t="shared" si="11"/>
        <v>0</v>
      </c>
      <c r="AO17" s="477">
        <f t="shared" si="12"/>
        <v>0</v>
      </c>
      <c r="AP17" s="481">
        <f t="shared" si="30"/>
        <v>0</v>
      </c>
      <c r="AQ17" s="481">
        <f t="shared" si="31"/>
        <v>0</v>
      </c>
      <c r="AR17" s="481">
        <f t="shared" si="32"/>
        <v>0</v>
      </c>
      <c r="AS17" s="481">
        <f t="shared" si="33"/>
        <v>0</v>
      </c>
      <c r="AT17" s="479">
        <f t="shared" si="13"/>
        <v>0</v>
      </c>
      <c r="AU17" s="479">
        <f t="shared" si="14"/>
        <v>0</v>
      </c>
      <c r="AV17" s="471">
        <f>IF(Données!$H$8="x",AW17,AX17)</f>
        <v>2.2166666666666668</v>
      </c>
      <c r="AW17" s="471">
        <f t="shared" si="1"/>
        <v>1.1083333333333334</v>
      </c>
      <c r="AX17" s="471">
        <f t="shared" si="35"/>
        <v>2.2166666666666668</v>
      </c>
      <c r="AY17" s="467" t="str">
        <f t="shared" si="15"/>
        <v>Ma</v>
      </c>
      <c r="AZ17" s="7">
        <f>IF((S40="M2.1")*AND(S41&lt;&gt;""),VLOOKUP(S41,Échelle!$AU$5:$AV$31,2),)</f>
        <v>0</v>
      </c>
      <c r="BA17" s="4" t="s">
        <v>10</v>
      </c>
      <c r="BB17" s="148"/>
    </row>
    <row r="18" spans="2:54" x14ac:dyDescent="0.2">
      <c r="B18" s="467" t="s">
        <v>178</v>
      </c>
      <c r="C18" s="468" t="s">
        <v>552</v>
      </c>
      <c r="D18" s="469"/>
      <c r="E18" s="469"/>
      <c r="F18" s="470"/>
      <c r="G18" s="470"/>
      <c r="H18" s="470"/>
      <c r="I18" s="470"/>
      <c r="J18" s="487"/>
      <c r="K18" s="487"/>
      <c r="L18" s="471">
        <f t="shared" si="16"/>
        <v>0</v>
      </c>
      <c r="M18" s="471">
        <f t="shared" si="27"/>
        <v>0</v>
      </c>
      <c r="N18" s="488">
        <f>IF(Sep!$H$47="x",AV18+Sep!$N$36,AV18)</f>
        <v>9.4999999999999964</v>
      </c>
      <c r="O18" s="483" t="str">
        <f t="shared" si="2"/>
        <v>-</v>
      </c>
      <c r="P18" s="489">
        <f t="shared" si="3"/>
        <v>9.4999999999999964</v>
      </c>
      <c r="Q18" s="474">
        <f t="shared" si="4"/>
        <v>0</v>
      </c>
      <c r="R18" s="474">
        <f t="shared" si="5"/>
        <v>0</v>
      </c>
      <c r="S18" s="474">
        <f t="shared" si="6"/>
        <v>0</v>
      </c>
      <c r="T18" s="474">
        <f t="shared" si="7"/>
        <v>0</v>
      </c>
      <c r="U18" s="488">
        <f t="shared" si="8"/>
        <v>0</v>
      </c>
      <c r="V18" s="488">
        <f t="shared" si="34"/>
        <v>0</v>
      </c>
      <c r="W18" s="471">
        <f t="shared" si="9"/>
        <v>0</v>
      </c>
      <c r="X18" s="471">
        <f t="shared" si="10"/>
        <v>0</v>
      </c>
      <c r="Y18" s="470"/>
      <c r="Z18" s="470"/>
      <c r="AA18" s="469"/>
      <c r="AB18" s="475">
        <f t="shared" si="18"/>
        <v>0</v>
      </c>
      <c r="AC18" s="475">
        <f t="shared" si="19"/>
        <v>0</v>
      </c>
      <c r="AD18" s="475">
        <f t="shared" si="20"/>
        <v>0</v>
      </c>
      <c r="AE18" s="475">
        <f t="shared" si="21"/>
        <v>0</v>
      </c>
      <c r="AF18" s="476">
        <f t="shared" si="22"/>
        <v>0</v>
      </c>
      <c r="AG18" s="475">
        <f t="shared" si="23"/>
        <v>0</v>
      </c>
      <c r="AH18" s="476">
        <f t="shared" si="24"/>
        <v>0</v>
      </c>
      <c r="AI18" s="475">
        <f t="shared" si="25"/>
        <v>0</v>
      </c>
      <c r="AJ18" s="477">
        <f>IF((D18&lt;&gt;""),VLOOKUP(D18,Données!$E$36:$H$59,4,FALSE),)</f>
        <v>0</v>
      </c>
      <c r="AK18" s="477">
        <f t="shared" si="0"/>
        <v>0</v>
      </c>
      <c r="AL18" s="478">
        <f t="shared" si="28"/>
        <v>0</v>
      </c>
      <c r="AM18" s="479">
        <f t="shared" si="29"/>
        <v>0</v>
      </c>
      <c r="AN18" s="480">
        <f t="shared" si="11"/>
        <v>0</v>
      </c>
      <c r="AO18" s="477">
        <f t="shared" si="12"/>
        <v>0</v>
      </c>
      <c r="AP18" s="481">
        <f t="shared" si="30"/>
        <v>0</v>
      </c>
      <c r="AQ18" s="481">
        <f t="shared" si="31"/>
        <v>0</v>
      </c>
      <c r="AR18" s="481">
        <f t="shared" si="32"/>
        <v>0</v>
      </c>
      <c r="AS18" s="481">
        <f t="shared" si="33"/>
        <v>0</v>
      </c>
      <c r="AT18" s="479">
        <f t="shared" si="13"/>
        <v>0</v>
      </c>
      <c r="AU18" s="479">
        <f t="shared" si="14"/>
        <v>0</v>
      </c>
      <c r="AV18" s="471">
        <f>IF(Données!$H$8="x",AW18,AX18)</f>
        <v>2.5333333333333332</v>
      </c>
      <c r="AW18" s="471">
        <f t="shared" si="1"/>
        <v>1.2666666666666666</v>
      </c>
      <c r="AX18" s="471">
        <f t="shared" si="35"/>
        <v>2.5333333333333332</v>
      </c>
      <c r="AY18" s="467" t="str">
        <f t="shared" si="15"/>
        <v>Me</v>
      </c>
      <c r="AZ18" s="7">
        <f>IF((S40="M2.2")*AND(S41&lt;&gt;""),VLOOKUP(S41,Échelle!$AX$5:$AY$31,2),)</f>
        <v>0</v>
      </c>
      <c r="BA18" s="4" t="s">
        <v>11</v>
      </c>
      <c r="BB18" s="148"/>
    </row>
    <row r="19" spans="2:54" x14ac:dyDescent="0.2">
      <c r="B19" s="467" t="s">
        <v>180</v>
      </c>
      <c r="C19" s="468" t="s">
        <v>553</v>
      </c>
      <c r="D19" s="469"/>
      <c r="E19" s="469"/>
      <c r="F19" s="470"/>
      <c r="G19" s="470"/>
      <c r="H19" s="470"/>
      <c r="I19" s="470"/>
      <c r="J19" s="487"/>
      <c r="K19" s="487"/>
      <c r="L19" s="471">
        <f t="shared" si="16"/>
        <v>0</v>
      </c>
      <c r="M19" s="471">
        <f t="shared" si="27"/>
        <v>0</v>
      </c>
      <c r="N19" s="488">
        <f>IF(Sep!$H$47="x",AV19+Sep!$N$36,AV19)</f>
        <v>9.8166666666666629</v>
      </c>
      <c r="O19" s="483" t="str">
        <f t="shared" si="2"/>
        <v>-</v>
      </c>
      <c r="P19" s="489">
        <f t="shared" si="3"/>
        <v>9.8166666666666629</v>
      </c>
      <c r="Q19" s="474">
        <f t="shared" si="4"/>
        <v>0</v>
      </c>
      <c r="R19" s="474">
        <f t="shared" si="5"/>
        <v>0</v>
      </c>
      <c r="S19" s="474">
        <f t="shared" si="6"/>
        <v>0</v>
      </c>
      <c r="T19" s="474">
        <f t="shared" si="7"/>
        <v>0</v>
      </c>
      <c r="U19" s="488">
        <f t="shared" si="8"/>
        <v>0</v>
      </c>
      <c r="V19" s="488">
        <f t="shared" si="34"/>
        <v>0</v>
      </c>
      <c r="W19" s="471">
        <f t="shared" si="9"/>
        <v>0</v>
      </c>
      <c r="X19" s="471">
        <f t="shared" si="10"/>
        <v>0</v>
      </c>
      <c r="Y19" s="470"/>
      <c r="Z19" s="470"/>
      <c r="AA19" s="469"/>
      <c r="AB19" s="475">
        <f t="shared" si="18"/>
        <v>0</v>
      </c>
      <c r="AC19" s="475">
        <f t="shared" si="19"/>
        <v>0</v>
      </c>
      <c r="AD19" s="475">
        <f t="shared" si="20"/>
        <v>0</v>
      </c>
      <c r="AE19" s="475">
        <f t="shared" si="21"/>
        <v>0</v>
      </c>
      <c r="AF19" s="476">
        <f t="shared" si="22"/>
        <v>0</v>
      </c>
      <c r="AG19" s="475">
        <f t="shared" si="23"/>
        <v>0</v>
      </c>
      <c r="AH19" s="476">
        <f t="shared" si="24"/>
        <v>0</v>
      </c>
      <c r="AI19" s="475">
        <f t="shared" si="25"/>
        <v>0</v>
      </c>
      <c r="AJ19" s="477">
        <f>IF((D19&lt;&gt;""),VLOOKUP(D19,Données!$E$36:$H$59,4,FALSE),)</f>
        <v>0</v>
      </c>
      <c r="AK19" s="477">
        <f t="shared" si="0"/>
        <v>0</v>
      </c>
      <c r="AL19" s="478">
        <f t="shared" si="28"/>
        <v>0</v>
      </c>
      <c r="AM19" s="479">
        <f t="shared" si="29"/>
        <v>0</v>
      </c>
      <c r="AN19" s="480">
        <f t="shared" si="11"/>
        <v>0</v>
      </c>
      <c r="AO19" s="477">
        <f t="shared" si="12"/>
        <v>0</v>
      </c>
      <c r="AP19" s="481">
        <f t="shared" si="30"/>
        <v>0</v>
      </c>
      <c r="AQ19" s="481">
        <f t="shared" si="31"/>
        <v>0</v>
      </c>
      <c r="AR19" s="481">
        <f t="shared" si="32"/>
        <v>0</v>
      </c>
      <c r="AS19" s="481">
        <f t="shared" si="33"/>
        <v>0</v>
      </c>
      <c r="AT19" s="479">
        <f t="shared" si="13"/>
        <v>0</v>
      </c>
      <c r="AU19" s="479">
        <f t="shared" si="14"/>
        <v>0</v>
      </c>
      <c r="AV19" s="471">
        <f>IF(Données!$H$8="x",AW19,AX19)</f>
        <v>2.8499999999999996</v>
      </c>
      <c r="AW19" s="471">
        <f t="shared" si="1"/>
        <v>1.4249999999999998</v>
      </c>
      <c r="AX19" s="471">
        <f t="shared" si="35"/>
        <v>2.8499999999999996</v>
      </c>
      <c r="AY19" s="467" t="str">
        <f t="shared" si="15"/>
        <v>Je</v>
      </c>
      <c r="AZ19" s="7">
        <f>IF((S40="M3.1")*AND(S41&lt;&gt;""),VLOOKUP(S41,Échelle!$BA$5:$BB$31,2),)</f>
        <v>0</v>
      </c>
      <c r="BA19" s="4" t="s">
        <v>12</v>
      </c>
      <c r="BB19" s="148"/>
    </row>
    <row r="20" spans="2:54" x14ac:dyDescent="0.2">
      <c r="B20" s="467" t="s">
        <v>182</v>
      </c>
      <c r="C20" s="485" t="s">
        <v>554</v>
      </c>
      <c r="D20" s="486"/>
      <c r="E20" s="486"/>
      <c r="F20" s="470"/>
      <c r="G20" s="470"/>
      <c r="H20" s="470"/>
      <c r="I20" s="470"/>
      <c r="J20" s="487"/>
      <c r="K20" s="487"/>
      <c r="L20" s="471">
        <f t="shared" si="16"/>
        <v>0</v>
      </c>
      <c r="M20" s="471">
        <f>M19+L20</f>
        <v>0</v>
      </c>
      <c r="N20" s="488">
        <f>IF(Sep!$H$47="x",AV20+Sep!$N$36,AV20)</f>
        <v>10.133333333333329</v>
      </c>
      <c r="O20" s="483" t="str">
        <f t="shared" si="2"/>
        <v>-</v>
      </c>
      <c r="P20" s="489">
        <f t="shared" si="3"/>
        <v>10.133333333333329</v>
      </c>
      <c r="Q20" s="474">
        <f t="shared" si="4"/>
        <v>0</v>
      </c>
      <c r="R20" s="474">
        <f t="shared" si="5"/>
        <v>0</v>
      </c>
      <c r="S20" s="474">
        <f t="shared" si="6"/>
        <v>0</v>
      </c>
      <c r="T20" s="474">
        <f t="shared" si="7"/>
        <v>0</v>
      </c>
      <c r="U20" s="488">
        <f t="shared" si="8"/>
        <v>0</v>
      </c>
      <c r="V20" s="488">
        <f t="shared" si="34"/>
        <v>0</v>
      </c>
      <c r="W20" s="471">
        <f t="shared" si="9"/>
        <v>0</v>
      </c>
      <c r="X20" s="471">
        <f t="shared" si="10"/>
        <v>0</v>
      </c>
      <c r="Y20" s="470"/>
      <c r="Z20" s="470"/>
      <c r="AA20" s="469"/>
      <c r="AB20" s="475">
        <f t="shared" si="18"/>
        <v>0</v>
      </c>
      <c r="AC20" s="475">
        <f t="shared" si="19"/>
        <v>0</v>
      </c>
      <c r="AD20" s="475">
        <f t="shared" si="20"/>
        <v>0</v>
      </c>
      <c r="AE20" s="475">
        <f t="shared" si="21"/>
        <v>0</v>
      </c>
      <c r="AF20" s="476">
        <f t="shared" si="22"/>
        <v>0</v>
      </c>
      <c r="AG20" s="475">
        <f t="shared" si="23"/>
        <v>0</v>
      </c>
      <c r="AH20" s="476">
        <f t="shared" si="24"/>
        <v>0</v>
      </c>
      <c r="AI20" s="475">
        <f t="shared" si="25"/>
        <v>0</v>
      </c>
      <c r="AJ20" s="477">
        <f>IF((D20&lt;&gt;""),VLOOKUP(D20,Données!$E$36:$H$59,4,FALSE),)</f>
        <v>0</v>
      </c>
      <c r="AK20" s="477">
        <f t="shared" si="0"/>
        <v>0</v>
      </c>
      <c r="AL20" s="478">
        <f t="shared" si="28"/>
        <v>0</v>
      </c>
      <c r="AM20" s="479">
        <f t="shared" si="29"/>
        <v>0</v>
      </c>
      <c r="AN20" s="480">
        <f t="shared" si="11"/>
        <v>0</v>
      </c>
      <c r="AO20" s="477">
        <f t="shared" si="12"/>
        <v>0</v>
      </c>
      <c r="AP20" s="481">
        <f t="shared" si="30"/>
        <v>0</v>
      </c>
      <c r="AQ20" s="481">
        <f t="shared" si="31"/>
        <v>0</v>
      </c>
      <c r="AR20" s="481">
        <f t="shared" si="32"/>
        <v>0</v>
      </c>
      <c r="AS20" s="481">
        <f t="shared" si="33"/>
        <v>0</v>
      </c>
      <c r="AT20" s="479">
        <f t="shared" si="13"/>
        <v>0</v>
      </c>
      <c r="AU20" s="479">
        <f t="shared" si="14"/>
        <v>0</v>
      </c>
      <c r="AV20" s="471">
        <f>IF(Données!$H$8="x",AW20,AX20)</f>
        <v>3.1666666666666661</v>
      </c>
      <c r="AW20" s="471">
        <f t="shared" si="1"/>
        <v>1.583333333333333</v>
      </c>
      <c r="AX20" s="471">
        <f t="shared" si="35"/>
        <v>3.1666666666666661</v>
      </c>
      <c r="AY20" s="467" t="str">
        <f t="shared" si="15"/>
        <v>Ve</v>
      </c>
      <c r="AZ20" s="7">
        <f>IF((S40="M3.2")*AND(S41&lt;&gt;""),VLOOKUP(S41,Échelle!$BD$5:$BE$31,2),)</f>
        <v>0</v>
      </c>
      <c r="BA20" s="4" t="s">
        <v>13</v>
      </c>
      <c r="BB20" s="148"/>
    </row>
    <row r="21" spans="2:54" x14ac:dyDescent="0.2">
      <c r="B21" s="403" t="s">
        <v>184</v>
      </c>
      <c r="C21" s="412" t="s">
        <v>555</v>
      </c>
      <c r="D21" s="411"/>
      <c r="E21" s="411"/>
      <c r="F21" s="401"/>
      <c r="G21" s="401"/>
      <c r="H21" s="401"/>
      <c r="I21" s="401"/>
      <c r="J21" s="516"/>
      <c r="K21" s="516"/>
      <c r="L21" s="402">
        <f>(G21-F21)+(I21-H21)+(K21-J21)</f>
        <v>0</v>
      </c>
      <c r="M21" s="402">
        <f>M20+L21</f>
        <v>0</v>
      </c>
      <c r="N21" s="407">
        <f>IF(Sep!$H$47="x",AV21+Sep!$N$36,AV21)</f>
        <v>10.133333333333329</v>
      </c>
      <c r="O21" s="408" t="str">
        <f t="shared" si="2"/>
        <v>-</v>
      </c>
      <c r="P21" s="409">
        <f t="shared" si="3"/>
        <v>10.133333333333329</v>
      </c>
      <c r="Q21" s="410">
        <f t="shared" si="4"/>
        <v>0</v>
      </c>
      <c r="R21" s="410">
        <f t="shared" si="5"/>
        <v>0</v>
      </c>
      <c r="S21" s="410">
        <f t="shared" si="6"/>
        <v>0</v>
      </c>
      <c r="T21" s="410">
        <f t="shared" si="7"/>
        <v>0</v>
      </c>
      <c r="U21" s="407">
        <f t="shared" si="8"/>
        <v>0</v>
      </c>
      <c r="V21" s="407">
        <f>L21</f>
        <v>0</v>
      </c>
      <c r="W21" s="402">
        <f t="shared" si="9"/>
        <v>0</v>
      </c>
      <c r="X21" s="402">
        <f t="shared" si="10"/>
        <v>0</v>
      </c>
      <c r="Y21" s="401"/>
      <c r="Z21" s="401"/>
      <c r="AA21" s="411"/>
      <c r="AB21" s="420">
        <f t="shared" si="18"/>
        <v>0</v>
      </c>
      <c r="AC21" s="420">
        <f t="shared" si="19"/>
        <v>0</v>
      </c>
      <c r="AD21" s="420">
        <f t="shared" si="20"/>
        <v>0</v>
      </c>
      <c r="AE21" s="420">
        <f t="shared" si="21"/>
        <v>0</v>
      </c>
      <c r="AF21" s="421">
        <f t="shared" si="22"/>
        <v>0</v>
      </c>
      <c r="AG21" s="420">
        <f t="shared" si="23"/>
        <v>0</v>
      </c>
      <c r="AH21" s="421">
        <f t="shared" si="24"/>
        <v>0</v>
      </c>
      <c r="AI21" s="420">
        <f t="shared" si="25"/>
        <v>0</v>
      </c>
      <c r="AJ21" s="422">
        <f>IF((D21&lt;&gt;""),VLOOKUP(D21,Données!$E$36:$H$59,4,FALSE),)</f>
        <v>0</v>
      </c>
      <c r="AK21" s="422">
        <f t="shared" si="0"/>
        <v>0</v>
      </c>
      <c r="AL21" s="423">
        <f t="shared" si="28"/>
        <v>0</v>
      </c>
      <c r="AM21" s="424">
        <f t="shared" si="29"/>
        <v>0</v>
      </c>
      <c r="AN21" s="425">
        <f t="shared" si="11"/>
        <v>0</v>
      </c>
      <c r="AO21" s="422">
        <f t="shared" si="12"/>
        <v>0</v>
      </c>
      <c r="AP21" s="426">
        <f t="shared" si="30"/>
        <v>0</v>
      </c>
      <c r="AQ21" s="426">
        <f t="shared" si="31"/>
        <v>0</v>
      </c>
      <c r="AR21" s="426">
        <f t="shared" si="32"/>
        <v>0</v>
      </c>
      <c r="AS21" s="426">
        <f t="shared" si="33"/>
        <v>0</v>
      </c>
      <c r="AT21" s="424">
        <f t="shared" si="13"/>
        <v>0</v>
      </c>
      <c r="AU21" s="424">
        <f t="shared" si="14"/>
        <v>0</v>
      </c>
      <c r="AV21" s="402">
        <f>IF(Données!$H$8="x",AW21,AX21)</f>
        <v>3.1666666666666661</v>
      </c>
      <c r="AW21" s="402">
        <f t="shared" si="1"/>
        <v>1.583333333333333</v>
      </c>
      <c r="AX21" s="402">
        <f>AX20</f>
        <v>3.1666666666666661</v>
      </c>
      <c r="AY21" s="403" t="str">
        <f t="shared" si="15"/>
        <v>Sa</v>
      </c>
      <c r="AZ21" s="423">
        <f>IF((S40="M4.1")*AND(S41&lt;&gt;""),VLOOKUP(S41,Échelle!$BJ$39:$BK$68,2),)</f>
        <v>33124</v>
      </c>
      <c r="BA21" s="424" t="s">
        <v>14</v>
      </c>
      <c r="BB21" s="148"/>
    </row>
    <row r="22" spans="2:54" x14ac:dyDescent="0.2">
      <c r="B22" s="403" t="s">
        <v>186</v>
      </c>
      <c r="C22" s="412" t="s">
        <v>556</v>
      </c>
      <c r="D22" s="411"/>
      <c r="E22" s="411"/>
      <c r="F22" s="401"/>
      <c r="G22" s="401"/>
      <c r="H22" s="401"/>
      <c r="I22" s="401"/>
      <c r="J22" s="406"/>
      <c r="K22" s="406"/>
      <c r="L22" s="402">
        <f>(G22-F22)+(I22-H22)+(K22-J22)</f>
        <v>0</v>
      </c>
      <c r="M22" s="402">
        <f t="shared" si="27"/>
        <v>0</v>
      </c>
      <c r="N22" s="407">
        <f>IF(Sep!$H$47="x",AV22+Sep!$N$36,AV22)</f>
        <v>10.133333333333329</v>
      </c>
      <c r="O22" s="408" t="str">
        <f t="shared" si="2"/>
        <v>-</v>
      </c>
      <c r="P22" s="409">
        <f t="shared" si="3"/>
        <v>10.133333333333329</v>
      </c>
      <c r="Q22" s="410">
        <f t="shared" si="4"/>
        <v>0</v>
      </c>
      <c r="R22" s="410">
        <f t="shared" si="5"/>
        <v>0</v>
      </c>
      <c r="S22" s="410">
        <f t="shared" si="6"/>
        <v>0</v>
      </c>
      <c r="T22" s="410">
        <f t="shared" si="7"/>
        <v>0</v>
      </c>
      <c r="U22" s="407">
        <f t="shared" si="8"/>
        <v>0</v>
      </c>
      <c r="V22" s="407">
        <f>L22</f>
        <v>0</v>
      </c>
      <c r="W22" s="402">
        <f t="shared" si="9"/>
        <v>0</v>
      </c>
      <c r="X22" s="402">
        <f t="shared" si="10"/>
        <v>0</v>
      </c>
      <c r="Y22" s="401"/>
      <c r="Z22" s="401"/>
      <c r="AA22" s="411"/>
      <c r="AB22" s="420">
        <f t="shared" si="18"/>
        <v>0</v>
      </c>
      <c r="AC22" s="420">
        <f t="shared" si="19"/>
        <v>0</v>
      </c>
      <c r="AD22" s="420">
        <f t="shared" si="20"/>
        <v>0</v>
      </c>
      <c r="AE22" s="420">
        <f t="shared" si="21"/>
        <v>0</v>
      </c>
      <c r="AF22" s="421">
        <f t="shared" si="22"/>
        <v>0</v>
      </c>
      <c r="AG22" s="420">
        <f t="shared" si="23"/>
        <v>0</v>
      </c>
      <c r="AH22" s="421">
        <f t="shared" si="24"/>
        <v>0</v>
      </c>
      <c r="AI22" s="420">
        <f t="shared" si="25"/>
        <v>0</v>
      </c>
      <c r="AJ22" s="422">
        <f>IF((D22&lt;&gt;""),VLOOKUP(D22,Données!$E$36:$H$59,4,FALSE),)</f>
        <v>0</v>
      </c>
      <c r="AK22" s="422">
        <f t="shared" si="0"/>
        <v>0</v>
      </c>
      <c r="AL22" s="423">
        <f t="shared" si="28"/>
        <v>0</v>
      </c>
      <c r="AM22" s="424">
        <f t="shared" si="29"/>
        <v>0</v>
      </c>
      <c r="AN22" s="425">
        <f t="shared" si="11"/>
        <v>0</v>
      </c>
      <c r="AO22" s="422">
        <f t="shared" si="12"/>
        <v>0</v>
      </c>
      <c r="AP22" s="426">
        <f t="shared" si="30"/>
        <v>0</v>
      </c>
      <c r="AQ22" s="426">
        <f t="shared" si="31"/>
        <v>0</v>
      </c>
      <c r="AR22" s="426">
        <f t="shared" si="32"/>
        <v>0</v>
      </c>
      <c r="AS22" s="426">
        <f t="shared" si="33"/>
        <v>0</v>
      </c>
      <c r="AT22" s="424">
        <f t="shared" si="13"/>
        <v>0</v>
      </c>
      <c r="AU22" s="424">
        <f t="shared" si="14"/>
        <v>0</v>
      </c>
      <c r="AV22" s="402">
        <f>IF(Données!$H$8="x",AW22,AX22)</f>
        <v>3.1666666666666661</v>
      </c>
      <c r="AW22" s="402">
        <f t="shared" si="1"/>
        <v>1.583333333333333</v>
      </c>
      <c r="AX22" s="402">
        <f>AX21</f>
        <v>3.1666666666666661</v>
      </c>
      <c r="AY22" s="403" t="str">
        <f t="shared" si="15"/>
        <v>Di</v>
      </c>
      <c r="AZ22" s="423">
        <f>IF((S40="M4.2")*AND(S41&lt;&gt;""),VLOOKUP(S41,Échelle!$BJ$5:$BK$31,2),)</f>
        <v>0</v>
      </c>
      <c r="BA22" s="424" t="s">
        <v>15</v>
      </c>
      <c r="BB22" s="148"/>
    </row>
    <row r="23" spans="2:54" x14ac:dyDescent="0.2">
      <c r="B23" s="467" t="s">
        <v>188</v>
      </c>
      <c r="C23" s="468" t="s">
        <v>557</v>
      </c>
      <c r="D23" s="469"/>
      <c r="E23" s="469"/>
      <c r="F23" s="470"/>
      <c r="G23" s="470"/>
      <c r="H23" s="470"/>
      <c r="I23" s="470"/>
      <c r="J23" s="487"/>
      <c r="K23" s="487"/>
      <c r="L23" s="471">
        <f t="shared" si="16"/>
        <v>0</v>
      </c>
      <c r="M23" s="471">
        <f t="shared" si="27"/>
        <v>0</v>
      </c>
      <c r="N23" s="488">
        <f>IF(Sep!$H$47="x",AV23+Sep!$N$36,AV23)</f>
        <v>10.449999999999996</v>
      </c>
      <c r="O23" s="483" t="str">
        <f t="shared" si="2"/>
        <v>-</v>
      </c>
      <c r="P23" s="489">
        <f t="shared" si="3"/>
        <v>10.449999999999996</v>
      </c>
      <c r="Q23" s="474">
        <f t="shared" si="4"/>
        <v>0</v>
      </c>
      <c r="R23" s="474">
        <f t="shared" si="5"/>
        <v>0</v>
      </c>
      <c r="S23" s="474">
        <f t="shared" si="6"/>
        <v>0</v>
      </c>
      <c r="T23" s="474">
        <f t="shared" si="7"/>
        <v>0</v>
      </c>
      <c r="U23" s="488">
        <f t="shared" si="8"/>
        <v>0</v>
      </c>
      <c r="V23" s="488">
        <f t="shared" ref="V23:V27" si="36">IF(D23="F",L23,0)</f>
        <v>0</v>
      </c>
      <c r="W23" s="471">
        <f t="shared" si="9"/>
        <v>0</v>
      </c>
      <c r="X23" s="471">
        <f t="shared" si="10"/>
        <v>0</v>
      </c>
      <c r="Y23" s="470"/>
      <c r="Z23" s="470"/>
      <c r="AA23" s="469"/>
      <c r="AB23" s="475">
        <f t="shared" si="18"/>
        <v>0</v>
      </c>
      <c r="AC23" s="475">
        <f t="shared" si="19"/>
        <v>0</v>
      </c>
      <c r="AD23" s="475">
        <f t="shared" si="20"/>
        <v>0</v>
      </c>
      <c r="AE23" s="475">
        <f t="shared" si="21"/>
        <v>0</v>
      </c>
      <c r="AF23" s="476">
        <f t="shared" si="22"/>
        <v>0</v>
      </c>
      <c r="AG23" s="475">
        <f t="shared" si="23"/>
        <v>0</v>
      </c>
      <c r="AH23" s="476">
        <f t="shared" si="24"/>
        <v>0</v>
      </c>
      <c r="AI23" s="475">
        <f t="shared" si="25"/>
        <v>0</v>
      </c>
      <c r="AJ23" s="477">
        <f>IF((D23&lt;&gt;""),VLOOKUP(D23,Données!$E$36:$H$59,4,FALSE),)</f>
        <v>0</v>
      </c>
      <c r="AK23" s="477">
        <f t="shared" si="0"/>
        <v>0</v>
      </c>
      <c r="AL23" s="478">
        <f t="shared" si="28"/>
        <v>0</v>
      </c>
      <c r="AM23" s="479">
        <f t="shared" si="29"/>
        <v>0</v>
      </c>
      <c r="AN23" s="480">
        <f t="shared" si="11"/>
        <v>0</v>
      </c>
      <c r="AO23" s="477">
        <f t="shared" si="12"/>
        <v>0</v>
      </c>
      <c r="AP23" s="481">
        <f t="shared" si="30"/>
        <v>0</v>
      </c>
      <c r="AQ23" s="481">
        <f t="shared" si="31"/>
        <v>0</v>
      </c>
      <c r="AR23" s="481">
        <f t="shared" si="32"/>
        <v>0</v>
      </c>
      <c r="AS23" s="481">
        <f t="shared" si="33"/>
        <v>0</v>
      </c>
      <c r="AT23" s="479">
        <f t="shared" si="13"/>
        <v>0</v>
      </c>
      <c r="AU23" s="479">
        <f t="shared" si="14"/>
        <v>0</v>
      </c>
      <c r="AV23" s="471">
        <f>IF(Données!$H$8="x",AW23,AX23)</f>
        <v>3.4833333333333325</v>
      </c>
      <c r="AW23" s="471">
        <f t="shared" si="1"/>
        <v>1.7416666666666663</v>
      </c>
      <c r="AX23" s="471">
        <f t="shared" ref="AX23:AX27" si="37">IF(D23="L",AX22,(AX22+"07:36"))</f>
        <v>3.4833333333333325</v>
      </c>
      <c r="AY23" s="467" t="str">
        <f t="shared" si="15"/>
        <v>Lu</v>
      </c>
      <c r="AZ23" s="7">
        <f>IF((S40="M5.1")*AND(S41&lt;&gt;""),VLOOKUP(S41,Échelle!$BM$5:$BN$31,2),)</f>
        <v>0</v>
      </c>
      <c r="BA23" s="4" t="s">
        <v>16</v>
      </c>
      <c r="BB23" s="148"/>
    </row>
    <row r="24" spans="2:54" x14ac:dyDescent="0.2">
      <c r="B24" s="467" t="s">
        <v>176</v>
      </c>
      <c r="C24" s="468" t="s">
        <v>558</v>
      </c>
      <c r="D24" s="469"/>
      <c r="E24" s="469"/>
      <c r="F24" s="470"/>
      <c r="G24" s="470"/>
      <c r="H24" s="470"/>
      <c r="I24" s="470"/>
      <c r="J24" s="487"/>
      <c r="K24" s="487"/>
      <c r="L24" s="471">
        <f t="shared" si="16"/>
        <v>0</v>
      </c>
      <c r="M24" s="471">
        <f t="shared" si="27"/>
        <v>0</v>
      </c>
      <c r="N24" s="488">
        <f>IF(Sep!$H$47="x",AV24+Sep!$N$36,AV24)</f>
        <v>10.766666666666662</v>
      </c>
      <c r="O24" s="483" t="str">
        <f t="shared" si="2"/>
        <v>-</v>
      </c>
      <c r="P24" s="489">
        <f t="shared" si="3"/>
        <v>10.766666666666662</v>
      </c>
      <c r="Q24" s="474">
        <f t="shared" si="4"/>
        <v>0</v>
      </c>
      <c r="R24" s="474">
        <f t="shared" si="5"/>
        <v>0</v>
      </c>
      <c r="S24" s="474">
        <f t="shared" si="6"/>
        <v>0</v>
      </c>
      <c r="T24" s="474">
        <f t="shared" si="7"/>
        <v>0</v>
      </c>
      <c r="U24" s="488">
        <f t="shared" si="8"/>
        <v>0</v>
      </c>
      <c r="V24" s="488">
        <f t="shared" si="36"/>
        <v>0</v>
      </c>
      <c r="W24" s="471">
        <f t="shared" si="9"/>
        <v>0</v>
      </c>
      <c r="X24" s="471">
        <f t="shared" si="10"/>
        <v>0</v>
      </c>
      <c r="Y24" s="470"/>
      <c r="Z24" s="470"/>
      <c r="AA24" s="469"/>
      <c r="AB24" s="475">
        <f t="shared" si="18"/>
        <v>0</v>
      </c>
      <c r="AC24" s="475">
        <f t="shared" si="19"/>
        <v>0</v>
      </c>
      <c r="AD24" s="475">
        <f t="shared" si="20"/>
        <v>0</v>
      </c>
      <c r="AE24" s="475">
        <f t="shared" si="21"/>
        <v>0</v>
      </c>
      <c r="AF24" s="476">
        <f t="shared" si="22"/>
        <v>0</v>
      </c>
      <c r="AG24" s="475">
        <f t="shared" si="23"/>
        <v>0</v>
      </c>
      <c r="AH24" s="476">
        <f t="shared" si="24"/>
        <v>0</v>
      </c>
      <c r="AI24" s="475">
        <f t="shared" si="25"/>
        <v>0</v>
      </c>
      <c r="AJ24" s="477">
        <f>IF((D24&lt;&gt;""),VLOOKUP(D24,Données!$E$36:$H$59,4,FALSE),)</f>
        <v>0</v>
      </c>
      <c r="AK24" s="477">
        <f t="shared" si="0"/>
        <v>0</v>
      </c>
      <c r="AL24" s="478">
        <f t="shared" si="28"/>
        <v>0</v>
      </c>
      <c r="AM24" s="479">
        <f t="shared" si="29"/>
        <v>0</v>
      </c>
      <c r="AN24" s="480">
        <f t="shared" si="11"/>
        <v>0</v>
      </c>
      <c r="AO24" s="477">
        <f t="shared" si="12"/>
        <v>0</v>
      </c>
      <c r="AP24" s="481">
        <f t="shared" si="30"/>
        <v>0</v>
      </c>
      <c r="AQ24" s="481">
        <f t="shared" si="31"/>
        <v>0</v>
      </c>
      <c r="AR24" s="481">
        <f t="shared" si="32"/>
        <v>0</v>
      </c>
      <c r="AS24" s="481">
        <f t="shared" si="33"/>
        <v>0</v>
      </c>
      <c r="AT24" s="479">
        <f t="shared" si="13"/>
        <v>0</v>
      </c>
      <c r="AU24" s="479">
        <f t="shared" si="14"/>
        <v>0</v>
      </c>
      <c r="AV24" s="471">
        <f>IF(Données!$H$8="x",AW24,AX24)</f>
        <v>3.7999999999999989</v>
      </c>
      <c r="AW24" s="471">
        <f t="shared" si="1"/>
        <v>1.8999999999999995</v>
      </c>
      <c r="AX24" s="471">
        <f t="shared" si="37"/>
        <v>3.7999999999999989</v>
      </c>
      <c r="AY24" s="467" t="str">
        <f t="shared" si="15"/>
        <v>Ma</v>
      </c>
      <c r="AZ24" s="7">
        <f>IF((S40="M5.2")*AND(S41&lt;&gt;""),VLOOKUP(S41,Échelle!$BP$5:$BQ$31,2),)</f>
        <v>0</v>
      </c>
      <c r="BA24" s="4" t="s">
        <v>17</v>
      </c>
      <c r="BB24" s="148"/>
    </row>
    <row r="25" spans="2:54" x14ac:dyDescent="0.2">
      <c r="B25" s="467" t="s">
        <v>178</v>
      </c>
      <c r="C25" s="468" t="s">
        <v>559</v>
      </c>
      <c r="D25" s="469"/>
      <c r="E25" s="469"/>
      <c r="F25" s="470"/>
      <c r="G25" s="470"/>
      <c r="H25" s="470"/>
      <c r="I25" s="470"/>
      <c r="J25" s="487"/>
      <c r="K25" s="487"/>
      <c r="L25" s="471">
        <f t="shared" si="16"/>
        <v>0</v>
      </c>
      <c r="M25" s="471">
        <f t="shared" si="27"/>
        <v>0</v>
      </c>
      <c r="N25" s="488">
        <f>IF(Sep!$H$47="x",AV25+Sep!$N$36,AV25)</f>
        <v>11.083333333333329</v>
      </c>
      <c r="O25" s="483" t="str">
        <f t="shared" si="2"/>
        <v>-</v>
      </c>
      <c r="P25" s="489">
        <f t="shared" si="3"/>
        <v>11.083333333333329</v>
      </c>
      <c r="Q25" s="474">
        <f t="shared" si="4"/>
        <v>0</v>
      </c>
      <c r="R25" s="474">
        <f t="shared" si="5"/>
        <v>0</v>
      </c>
      <c r="S25" s="474">
        <f t="shared" si="6"/>
        <v>0</v>
      </c>
      <c r="T25" s="474">
        <f t="shared" si="7"/>
        <v>0</v>
      </c>
      <c r="U25" s="488">
        <f t="shared" si="8"/>
        <v>0</v>
      </c>
      <c r="V25" s="488">
        <f t="shared" si="36"/>
        <v>0</v>
      </c>
      <c r="W25" s="471">
        <f t="shared" si="9"/>
        <v>0</v>
      </c>
      <c r="X25" s="471">
        <f t="shared" si="10"/>
        <v>0</v>
      </c>
      <c r="Y25" s="470"/>
      <c r="Z25" s="470"/>
      <c r="AA25" s="469"/>
      <c r="AB25" s="475">
        <f t="shared" si="18"/>
        <v>0</v>
      </c>
      <c r="AC25" s="475">
        <f t="shared" si="19"/>
        <v>0</v>
      </c>
      <c r="AD25" s="475">
        <f t="shared" si="20"/>
        <v>0</v>
      </c>
      <c r="AE25" s="475">
        <f t="shared" si="21"/>
        <v>0</v>
      </c>
      <c r="AF25" s="476">
        <f t="shared" si="22"/>
        <v>0</v>
      </c>
      <c r="AG25" s="475">
        <f t="shared" si="23"/>
        <v>0</v>
      </c>
      <c r="AH25" s="476">
        <f t="shared" si="24"/>
        <v>0</v>
      </c>
      <c r="AI25" s="475">
        <f t="shared" si="25"/>
        <v>0</v>
      </c>
      <c r="AJ25" s="477">
        <f>IF((D25&lt;&gt;""),VLOOKUP(D25,Données!$E$36:$H$59,4,FALSE),)</f>
        <v>0</v>
      </c>
      <c r="AK25" s="477">
        <f t="shared" si="0"/>
        <v>0</v>
      </c>
      <c r="AL25" s="478">
        <f t="shared" si="28"/>
        <v>0</v>
      </c>
      <c r="AM25" s="479">
        <f t="shared" si="29"/>
        <v>0</v>
      </c>
      <c r="AN25" s="480">
        <f t="shared" si="11"/>
        <v>0</v>
      </c>
      <c r="AO25" s="477">
        <f t="shared" si="12"/>
        <v>0</v>
      </c>
      <c r="AP25" s="481">
        <f t="shared" si="30"/>
        <v>0</v>
      </c>
      <c r="AQ25" s="481">
        <f t="shared" si="31"/>
        <v>0</v>
      </c>
      <c r="AR25" s="481">
        <f t="shared" si="32"/>
        <v>0</v>
      </c>
      <c r="AS25" s="481">
        <f t="shared" si="33"/>
        <v>0</v>
      </c>
      <c r="AT25" s="479">
        <f t="shared" si="13"/>
        <v>0</v>
      </c>
      <c r="AU25" s="479">
        <f t="shared" si="14"/>
        <v>0</v>
      </c>
      <c r="AV25" s="471">
        <f>IF(Données!$H$8="x",AW25,AX25)</f>
        <v>4.1166666666666654</v>
      </c>
      <c r="AW25" s="471">
        <f t="shared" si="1"/>
        <v>2.0583333333333327</v>
      </c>
      <c r="AX25" s="471">
        <f t="shared" si="37"/>
        <v>4.1166666666666654</v>
      </c>
      <c r="AY25" s="467" t="str">
        <f t="shared" si="15"/>
        <v>Me</v>
      </c>
      <c r="AZ25" s="7">
        <f>IF((S40="M6")*AND(S41&lt;&gt;""),VLOOKUP(S41,Échelle!$BS$5:$BT$31,2),)</f>
        <v>0</v>
      </c>
      <c r="BA25" s="4" t="s">
        <v>18</v>
      </c>
      <c r="BB25" s="148"/>
    </row>
    <row r="26" spans="2:54" x14ac:dyDescent="0.2">
      <c r="B26" s="467" t="s">
        <v>180</v>
      </c>
      <c r="C26" s="468" t="s">
        <v>560</v>
      </c>
      <c r="D26" s="469"/>
      <c r="E26" s="469"/>
      <c r="F26" s="470"/>
      <c r="G26" s="470"/>
      <c r="H26" s="470"/>
      <c r="I26" s="470"/>
      <c r="J26" s="487"/>
      <c r="K26" s="487"/>
      <c r="L26" s="471">
        <f t="shared" si="16"/>
        <v>0</v>
      </c>
      <c r="M26" s="471">
        <f t="shared" si="27"/>
        <v>0</v>
      </c>
      <c r="N26" s="488">
        <f>IF(Sep!$H$47="x",AV26+Sep!$N$36,AV26)</f>
        <v>11.399999999999995</v>
      </c>
      <c r="O26" s="483" t="str">
        <f t="shared" si="2"/>
        <v>-</v>
      </c>
      <c r="P26" s="489">
        <f t="shared" si="3"/>
        <v>11.399999999999995</v>
      </c>
      <c r="Q26" s="474">
        <f t="shared" si="4"/>
        <v>0</v>
      </c>
      <c r="R26" s="474">
        <f t="shared" si="5"/>
        <v>0</v>
      </c>
      <c r="S26" s="474">
        <f t="shared" si="6"/>
        <v>0</v>
      </c>
      <c r="T26" s="474">
        <f t="shared" si="7"/>
        <v>0</v>
      </c>
      <c r="U26" s="488">
        <f t="shared" si="8"/>
        <v>0</v>
      </c>
      <c r="V26" s="488">
        <f t="shared" si="36"/>
        <v>0</v>
      </c>
      <c r="W26" s="471">
        <f t="shared" si="9"/>
        <v>0</v>
      </c>
      <c r="X26" s="471">
        <f t="shared" si="10"/>
        <v>0</v>
      </c>
      <c r="Y26" s="470"/>
      <c r="Z26" s="470"/>
      <c r="AA26" s="469"/>
      <c r="AB26" s="475">
        <f t="shared" si="18"/>
        <v>0</v>
      </c>
      <c r="AC26" s="475">
        <f t="shared" si="19"/>
        <v>0</v>
      </c>
      <c r="AD26" s="475">
        <f t="shared" si="20"/>
        <v>0</v>
      </c>
      <c r="AE26" s="475">
        <f t="shared" si="21"/>
        <v>0</v>
      </c>
      <c r="AF26" s="476">
        <f t="shared" si="22"/>
        <v>0</v>
      </c>
      <c r="AG26" s="475">
        <f t="shared" si="23"/>
        <v>0</v>
      </c>
      <c r="AH26" s="476">
        <f t="shared" si="24"/>
        <v>0</v>
      </c>
      <c r="AI26" s="475">
        <f t="shared" si="25"/>
        <v>0</v>
      </c>
      <c r="AJ26" s="477">
        <f>IF((D26&lt;&gt;""),VLOOKUP(D26,Données!$E$36:$H$59,4,FALSE),)</f>
        <v>0</v>
      </c>
      <c r="AK26" s="477">
        <f t="shared" si="0"/>
        <v>0</v>
      </c>
      <c r="AL26" s="478">
        <f t="shared" si="28"/>
        <v>0</v>
      </c>
      <c r="AM26" s="479">
        <f t="shared" si="29"/>
        <v>0</v>
      </c>
      <c r="AN26" s="480">
        <f t="shared" si="11"/>
        <v>0</v>
      </c>
      <c r="AO26" s="477">
        <f t="shared" si="12"/>
        <v>0</v>
      </c>
      <c r="AP26" s="481">
        <f t="shared" si="30"/>
        <v>0</v>
      </c>
      <c r="AQ26" s="481">
        <f t="shared" si="31"/>
        <v>0</v>
      </c>
      <c r="AR26" s="481">
        <f t="shared" si="32"/>
        <v>0</v>
      </c>
      <c r="AS26" s="481">
        <f t="shared" si="33"/>
        <v>0</v>
      </c>
      <c r="AT26" s="479">
        <f t="shared" si="13"/>
        <v>0</v>
      </c>
      <c r="AU26" s="479">
        <f t="shared" si="14"/>
        <v>0</v>
      </c>
      <c r="AV26" s="471">
        <f>IF(Données!$H$8="x",AW26,AX26)</f>
        <v>4.4333333333333318</v>
      </c>
      <c r="AW26" s="471">
        <f t="shared" si="1"/>
        <v>2.2166666666666659</v>
      </c>
      <c r="AX26" s="471">
        <f t="shared" si="37"/>
        <v>4.4333333333333318</v>
      </c>
      <c r="AY26" s="467" t="str">
        <f t="shared" si="15"/>
        <v>Je</v>
      </c>
      <c r="AZ26" s="7">
        <f>IF((S40="M7")*AND(S41&lt;&gt;""),VLOOKUP(S41,Échelle!$BV$5:$BW$31,2),)</f>
        <v>0</v>
      </c>
      <c r="BA26" s="4" t="s">
        <v>19</v>
      </c>
      <c r="BB26" s="148"/>
    </row>
    <row r="27" spans="2:54" x14ac:dyDescent="0.2">
      <c r="B27" s="467" t="s">
        <v>182</v>
      </c>
      <c r="C27" s="485" t="s">
        <v>561</v>
      </c>
      <c r="D27" s="486"/>
      <c r="E27" s="486"/>
      <c r="F27" s="470"/>
      <c r="G27" s="470"/>
      <c r="H27" s="470"/>
      <c r="I27" s="470"/>
      <c r="J27" s="487"/>
      <c r="K27" s="487"/>
      <c r="L27" s="471">
        <f t="shared" si="16"/>
        <v>0</v>
      </c>
      <c r="M27" s="471">
        <f>M26+L27</f>
        <v>0</v>
      </c>
      <c r="N27" s="488">
        <f>IF(Sep!$H$47="x",AV27+Sep!$N$36,AV27)</f>
        <v>11.716666666666661</v>
      </c>
      <c r="O27" s="483" t="str">
        <f t="shared" si="2"/>
        <v>-</v>
      </c>
      <c r="P27" s="489">
        <f t="shared" si="3"/>
        <v>11.716666666666661</v>
      </c>
      <c r="Q27" s="474">
        <f t="shared" si="4"/>
        <v>0</v>
      </c>
      <c r="R27" s="474">
        <f t="shared" si="5"/>
        <v>0</v>
      </c>
      <c r="S27" s="474">
        <f t="shared" si="6"/>
        <v>0</v>
      </c>
      <c r="T27" s="474">
        <f t="shared" si="7"/>
        <v>0</v>
      </c>
      <c r="U27" s="488">
        <f t="shared" si="8"/>
        <v>0</v>
      </c>
      <c r="V27" s="488">
        <f t="shared" si="36"/>
        <v>0</v>
      </c>
      <c r="W27" s="471">
        <f t="shared" si="9"/>
        <v>0</v>
      </c>
      <c r="X27" s="471">
        <f t="shared" si="10"/>
        <v>0</v>
      </c>
      <c r="Y27" s="470"/>
      <c r="Z27" s="470"/>
      <c r="AA27" s="469"/>
      <c r="AB27" s="475">
        <f t="shared" si="18"/>
        <v>0</v>
      </c>
      <c r="AC27" s="475">
        <f t="shared" si="19"/>
        <v>0</v>
      </c>
      <c r="AD27" s="475">
        <f t="shared" si="20"/>
        <v>0</v>
      </c>
      <c r="AE27" s="475">
        <f t="shared" si="21"/>
        <v>0</v>
      </c>
      <c r="AF27" s="476">
        <f t="shared" si="22"/>
        <v>0</v>
      </c>
      <c r="AG27" s="475">
        <f t="shared" si="23"/>
        <v>0</v>
      </c>
      <c r="AH27" s="476">
        <f t="shared" si="24"/>
        <v>0</v>
      </c>
      <c r="AI27" s="475">
        <f t="shared" si="25"/>
        <v>0</v>
      </c>
      <c r="AJ27" s="477">
        <f>IF((D27&lt;&gt;""),VLOOKUP(D27,Données!$E$36:$H$59,4,FALSE),)</f>
        <v>0</v>
      </c>
      <c r="AK27" s="477">
        <f t="shared" si="0"/>
        <v>0</v>
      </c>
      <c r="AL27" s="478">
        <f t="shared" si="28"/>
        <v>0</v>
      </c>
      <c r="AM27" s="479">
        <f t="shared" si="29"/>
        <v>0</v>
      </c>
      <c r="AN27" s="480">
        <f t="shared" si="11"/>
        <v>0</v>
      </c>
      <c r="AO27" s="477">
        <f t="shared" si="12"/>
        <v>0</v>
      </c>
      <c r="AP27" s="481">
        <f t="shared" si="30"/>
        <v>0</v>
      </c>
      <c r="AQ27" s="481">
        <f t="shared" si="31"/>
        <v>0</v>
      </c>
      <c r="AR27" s="481">
        <f t="shared" si="32"/>
        <v>0</v>
      </c>
      <c r="AS27" s="481">
        <f t="shared" si="33"/>
        <v>0</v>
      </c>
      <c r="AT27" s="479">
        <f t="shared" si="13"/>
        <v>0</v>
      </c>
      <c r="AU27" s="479">
        <f t="shared" si="14"/>
        <v>0</v>
      </c>
      <c r="AV27" s="471">
        <f>IF(Données!$H$8="x",AW27,AX27)</f>
        <v>4.7499999999999982</v>
      </c>
      <c r="AW27" s="471">
        <f t="shared" si="1"/>
        <v>2.3749999999999991</v>
      </c>
      <c r="AX27" s="471">
        <f t="shared" si="37"/>
        <v>4.7499999999999982</v>
      </c>
      <c r="AY27" s="467" t="str">
        <f t="shared" si="15"/>
        <v>Ve</v>
      </c>
      <c r="AZ27" s="7">
        <f>IF((S40="M7bis")*AND(S41&lt;&gt;""),VLOOKUP(S41,Échelle!$BY$5:$BZ$31,2),)</f>
        <v>0</v>
      </c>
      <c r="BA27" s="4" t="s">
        <v>20</v>
      </c>
      <c r="BB27" s="148"/>
    </row>
    <row r="28" spans="2:54" x14ac:dyDescent="0.2">
      <c r="B28" s="403" t="s">
        <v>184</v>
      </c>
      <c r="C28" s="412" t="s">
        <v>562</v>
      </c>
      <c r="D28" s="411"/>
      <c r="E28" s="411"/>
      <c r="F28" s="401"/>
      <c r="G28" s="401"/>
      <c r="H28" s="401"/>
      <c r="I28" s="401"/>
      <c r="J28" s="516"/>
      <c r="K28" s="516"/>
      <c r="L28" s="402">
        <f>(G28-F28)+(I28-H28)+(K28-J28)</f>
        <v>0</v>
      </c>
      <c r="M28" s="402">
        <f>M27+L28</f>
        <v>0</v>
      </c>
      <c r="N28" s="407">
        <f>IF(Sep!$H$47="x",AV28+Sep!$N$36,AV28)</f>
        <v>11.716666666666661</v>
      </c>
      <c r="O28" s="408" t="str">
        <f t="shared" si="2"/>
        <v>-</v>
      </c>
      <c r="P28" s="409">
        <f t="shared" si="3"/>
        <v>11.716666666666661</v>
      </c>
      <c r="Q28" s="410">
        <f t="shared" si="4"/>
        <v>0</v>
      </c>
      <c r="R28" s="410">
        <f t="shared" si="5"/>
        <v>0</v>
      </c>
      <c r="S28" s="410">
        <f t="shared" si="6"/>
        <v>0</v>
      </c>
      <c r="T28" s="410">
        <f t="shared" si="7"/>
        <v>0</v>
      </c>
      <c r="U28" s="407">
        <f t="shared" si="8"/>
        <v>0</v>
      </c>
      <c r="V28" s="407">
        <f>L28</f>
        <v>0</v>
      </c>
      <c r="W28" s="402">
        <f t="shared" si="9"/>
        <v>0</v>
      </c>
      <c r="X28" s="402">
        <f t="shared" si="10"/>
        <v>0</v>
      </c>
      <c r="Y28" s="401"/>
      <c r="Z28" s="401"/>
      <c r="AA28" s="411"/>
      <c r="AB28" s="420">
        <f t="shared" si="18"/>
        <v>0</v>
      </c>
      <c r="AC28" s="420">
        <f t="shared" si="19"/>
        <v>0</v>
      </c>
      <c r="AD28" s="420">
        <f t="shared" si="20"/>
        <v>0</v>
      </c>
      <c r="AE28" s="420">
        <f t="shared" si="21"/>
        <v>0</v>
      </c>
      <c r="AF28" s="421">
        <f t="shared" si="22"/>
        <v>0</v>
      </c>
      <c r="AG28" s="420">
        <f t="shared" si="23"/>
        <v>0</v>
      </c>
      <c r="AH28" s="421">
        <f t="shared" si="24"/>
        <v>0</v>
      </c>
      <c r="AI28" s="420">
        <f t="shared" si="25"/>
        <v>0</v>
      </c>
      <c r="AJ28" s="422">
        <f>IF((D28&lt;&gt;""),VLOOKUP(D28,Données!$E$36:$H$59,4,FALSE),)</f>
        <v>0</v>
      </c>
      <c r="AK28" s="422">
        <f t="shared" si="0"/>
        <v>0</v>
      </c>
      <c r="AL28" s="423">
        <f t="shared" si="28"/>
        <v>0</v>
      </c>
      <c r="AM28" s="424">
        <f t="shared" si="29"/>
        <v>0</v>
      </c>
      <c r="AN28" s="425">
        <f t="shared" si="11"/>
        <v>0</v>
      </c>
      <c r="AO28" s="422">
        <f t="shared" si="12"/>
        <v>0</v>
      </c>
      <c r="AP28" s="426">
        <f t="shared" si="30"/>
        <v>0</v>
      </c>
      <c r="AQ28" s="426">
        <f t="shared" si="31"/>
        <v>0</v>
      </c>
      <c r="AR28" s="426">
        <f t="shared" si="32"/>
        <v>0</v>
      </c>
      <c r="AS28" s="426">
        <f t="shared" si="33"/>
        <v>0</v>
      </c>
      <c r="AT28" s="424">
        <f t="shared" si="13"/>
        <v>0</v>
      </c>
      <c r="AU28" s="424">
        <f t="shared" si="14"/>
        <v>0</v>
      </c>
      <c r="AV28" s="402">
        <f>IF(Données!$H$8="x",AW28,AX28)</f>
        <v>4.7499999999999982</v>
      </c>
      <c r="AW28" s="402">
        <f t="shared" si="1"/>
        <v>2.3749999999999991</v>
      </c>
      <c r="AX28" s="402">
        <f>AX27</f>
        <v>4.7499999999999982</v>
      </c>
      <c r="AY28" s="403" t="str">
        <f t="shared" si="15"/>
        <v>Sa</v>
      </c>
      <c r="AZ28" s="423">
        <f>IF((S40="O1")*AND(S41&lt;&gt;""),VLOOKUP(S41,Échelle!$Q$39:$R$65,2),)</f>
        <v>0</v>
      </c>
      <c r="BA28" s="424" t="s">
        <v>22</v>
      </c>
      <c r="BB28" s="148"/>
    </row>
    <row r="29" spans="2:54" x14ac:dyDescent="0.2">
      <c r="B29" s="403" t="s">
        <v>186</v>
      </c>
      <c r="C29" s="412" t="s">
        <v>563</v>
      </c>
      <c r="D29" s="411"/>
      <c r="E29" s="411"/>
      <c r="F29" s="401"/>
      <c r="G29" s="401"/>
      <c r="H29" s="401"/>
      <c r="I29" s="401"/>
      <c r="J29" s="406"/>
      <c r="K29" s="406"/>
      <c r="L29" s="402">
        <f>(G29-F29)+(I29-H29)+(K29-J29)</f>
        <v>0</v>
      </c>
      <c r="M29" s="402">
        <f t="shared" si="27"/>
        <v>0</v>
      </c>
      <c r="N29" s="407">
        <f>IF(Sep!$H$47="x",AV29+Sep!$N$36,AV29)</f>
        <v>11.716666666666661</v>
      </c>
      <c r="O29" s="408" t="str">
        <f t="shared" si="2"/>
        <v>-</v>
      </c>
      <c r="P29" s="409">
        <f t="shared" si="3"/>
        <v>11.716666666666661</v>
      </c>
      <c r="Q29" s="410">
        <f t="shared" si="4"/>
        <v>0</v>
      </c>
      <c r="R29" s="410">
        <f t="shared" si="5"/>
        <v>0</v>
      </c>
      <c r="S29" s="410">
        <f t="shared" si="6"/>
        <v>0</v>
      </c>
      <c r="T29" s="410">
        <f t="shared" si="7"/>
        <v>0</v>
      </c>
      <c r="U29" s="407">
        <f t="shared" si="8"/>
        <v>0</v>
      </c>
      <c r="V29" s="407">
        <f>L29</f>
        <v>0</v>
      </c>
      <c r="W29" s="402">
        <f t="shared" si="9"/>
        <v>0</v>
      </c>
      <c r="X29" s="402">
        <f t="shared" si="10"/>
        <v>0</v>
      </c>
      <c r="Y29" s="401"/>
      <c r="Z29" s="401"/>
      <c r="AA29" s="411"/>
      <c r="AB29" s="420">
        <f t="shared" si="18"/>
        <v>0</v>
      </c>
      <c r="AC29" s="420">
        <f t="shared" si="19"/>
        <v>0</v>
      </c>
      <c r="AD29" s="420">
        <f t="shared" si="20"/>
        <v>0</v>
      </c>
      <c r="AE29" s="420">
        <f t="shared" si="21"/>
        <v>0</v>
      </c>
      <c r="AF29" s="421">
        <f t="shared" si="22"/>
        <v>0</v>
      </c>
      <c r="AG29" s="420">
        <f t="shared" si="23"/>
        <v>0</v>
      </c>
      <c r="AH29" s="421">
        <f t="shared" si="24"/>
        <v>0</v>
      </c>
      <c r="AI29" s="420">
        <f t="shared" si="25"/>
        <v>0</v>
      </c>
      <c r="AJ29" s="422">
        <f>IF((D29&lt;&gt;""),VLOOKUP(D29,Données!$E$36:$H$59,4,FALSE),)</f>
        <v>0</v>
      </c>
      <c r="AK29" s="422">
        <f t="shared" si="0"/>
        <v>0</v>
      </c>
      <c r="AL29" s="423">
        <f t="shared" si="28"/>
        <v>0</v>
      </c>
      <c r="AM29" s="424">
        <f t="shared" si="29"/>
        <v>0</v>
      </c>
      <c r="AN29" s="425">
        <f t="shared" si="11"/>
        <v>0</v>
      </c>
      <c r="AO29" s="422">
        <f t="shared" si="12"/>
        <v>0</v>
      </c>
      <c r="AP29" s="426">
        <f t="shared" si="30"/>
        <v>0</v>
      </c>
      <c r="AQ29" s="426">
        <f t="shared" si="31"/>
        <v>0</v>
      </c>
      <c r="AR29" s="426">
        <f t="shared" si="32"/>
        <v>0</v>
      </c>
      <c r="AS29" s="426">
        <f t="shared" si="33"/>
        <v>0</v>
      </c>
      <c r="AT29" s="424">
        <f t="shared" si="13"/>
        <v>0</v>
      </c>
      <c r="AU29" s="424">
        <f t="shared" si="14"/>
        <v>0</v>
      </c>
      <c r="AV29" s="402">
        <f>IF(Données!$H$8="x",AW29,AX29)</f>
        <v>4.7499999999999982</v>
      </c>
      <c r="AW29" s="402">
        <f t="shared" si="1"/>
        <v>2.3749999999999991</v>
      </c>
      <c r="AX29" s="402">
        <f>AX28</f>
        <v>4.7499999999999982</v>
      </c>
      <c r="AY29" s="403" t="str">
        <f t="shared" si="15"/>
        <v>Di</v>
      </c>
      <c r="AZ29" s="423">
        <f>IF((S40="O2")*AND(S41&lt;&gt;""),VLOOKUP(S41,Échelle!$T$39:$U$65,2),)</f>
        <v>0</v>
      </c>
      <c r="BA29" s="424" t="s">
        <v>23</v>
      </c>
      <c r="BB29" s="148"/>
    </row>
    <row r="30" spans="2:54" x14ac:dyDescent="0.2">
      <c r="B30" s="467" t="s">
        <v>188</v>
      </c>
      <c r="C30" s="468" t="s">
        <v>564</v>
      </c>
      <c r="D30" s="469"/>
      <c r="E30" s="469"/>
      <c r="F30" s="470"/>
      <c r="G30" s="470"/>
      <c r="H30" s="470"/>
      <c r="I30" s="470"/>
      <c r="J30" s="487"/>
      <c r="K30" s="487"/>
      <c r="L30" s="471">
        <f t="shared" si="16"/>
        <v>0</v>
      </c>
      <c r="M30" s="471">
        <f t="shared" si="27"/>
        <v>0</v>
      </c>
      <c r="N30" s="488">
        <f>IF(Sep!$H$47="x",AV30+Sep!$N$36,AV30)</f>
        <v>12.033333333333328</v>
      </c>
      <c r="O30" s="483" t="str">
        <f t="shared" si="2"/>
        <v>-</v>
      </c>
      <c r="P30" s="489">
        <f t="shared" si="3"/>
        <v>12.033333333333328</v>
      </c>
      <c r="Q30" s="474">
        <f t="shared" si="4"/>
        <v>0</v>
      </c>
      <c r="R30" s="474">
        <f t="shared" si="5"/>
        <v>0</v>
      </c>
      <c r="S30" s="474">
        <f t="shared" si="6"/>
        <v>0</v>
      </c>
      <c r="T30" s="474">
        <f t="shared" si="7"/>
        <v>0</v>
      </c>
      <c r="U30" s="488">
        <f t="shared" si="8"/>
        <v>0</v>
      </c>
      <c r="V30" s="488">
        <f t="shared" ref="V30:V34" si="38">IF(D30="F",L30,0)</f>
        <v>0</v>
      </c>
      <c r="W30" s="471">
        <f t="shared" si="9"/>
        <v>0</v>
      </c>
      <c r="X30" s="471">
        <f t="shared" si="10"/>
        <v>0</v>
      </c>
      <c r="Y30" s="470"/>
      <c r="Z30" s="470"/>
      <c r="AA30" s="469"/>
      <c r="AB30" s="475">
        <f t="shared" si="18"/>
        <v>0</v>
      </c>
      <c r="AC30" s="475">
        <f t="shared" si="19"/>
        <v>0</v>
      </c>
      <c r="AD30" s="475">
        <f t="shared" si="20"/>
        <v>0</v>
      </c>
      <c r="AE30" s="475">
        <f t="shared" si="21"/>
        <v>0</v>
      </c>
      <c r="AF30" s="476">
        <f t="shared" si="22"/>
        <v>0</v>
      </c>
      <c r="AG30" s="475">
        <f t="shared" si="23"/>
        <v>0</v>
      </c>
      <c r="AH30" s="476">
        <f t="shared" si="24"/>
        <v>0</v>
      </c>
      <c r="AI30" s="475">
        <f t="shared" si="25"/>
        <v>0</v>
      </c>
      <c r="AJ30" s="477">
        <f>IF((D30&lt;&gt;""),VLOOKUP(D30,Données!$E$36:$H$59,4,FALSE),)</f>
        <v>0</v>
      </c>
      <c r="AK30" s="477">
        <f t="shared" si="0"/>
        <v>0</v>
      </c>
      <c r="AL30" s="478">
        <f t="shared" si="28"/>
        <v>0</v>
      </c>
      <c r="AM30" s="479">
        <f t="shared" si="29"/>
        <v>0</v>
      </c>
      <c r="AN30" s="480">
        <f t="shared" si="11"/>
        <v>0</v>
      </c>
      <c r="AO30" s="477">
        <f t="shared" si="12"/>
        <v>0</v>
      </c>
      <c r="AP30" s="481">
        <f t="shared" si="30"/>
        <v>0</v>
      </c>
      <c r="AQ30" s="481">
        <f t="shared" si="31"/>
        <v>0</v>
      </c>
      <c r="AR30" s="481">
        <f t="shared" si="32"/>
        <v>0</v>
      </c>
      <c r="AS30" s="481">
        <f t="shared" si="33"/>
        <v>0</v>
      </c>
      <c r="AT30" s="479">
        <f t="shared" si="13"/>
        <v>0</v>
      </c>
      <c r="AU30" s="479">
        <f t="shared" si="14"/>
        <v>0</v>
      </c>
      <c r="AV30" s="471">
        <f>IF(Données!$H$8="x",AW30,AX30)</f>
        <v>5.0666666666666647</v>
      </c>
      <c r="AW30" s="471">
        <f t="shared" si="1"/>
        <v>2.5333333333333323</v>
      </c>
      <c r="AX30" s="471">
        <f t="shared" ref="AX30:AX34" si="39">IF(D30="L",AX29,(AX29+"07:36"))</f>
        <v>5.0666666666666647</v>
      </c>
      <c r="AY30" s="467" t="str">
        <f t="shared" si="15"/>
        <v>Lu</v>
      </c>
      <c r="AZ30" s="7">
        <f>IF((S40="O2ir")*AND(S41&lt;&gt;""),VLOOKUP(S41,Échelle!$AR$39:$AS$65,2),)</f>
        <v>0</v>
      </c>
      <c r="BA30" s="4" t="s">
        <v>31</v>
      </c>
      <c r="BB30" s="148"/>
    </row>
    <row r="31" spans="2:54" x14ac:dyDescent="0.2">
      <c r="B31" s="467" t="s">
        <v>176</v>
      </c>
      <c r="C31" s="468" t="s">
        <v>565</v>
      </c>
      <c r="D31" s="469"/>
      <c r="E31" s="469"/>
      <c r="F31" s="470"/>
      <c r="G31" s="470"/>
      <c r="H31" s="470"/>
      <c r="I31" s="470"/>
      <c r="J31" s="487"/>
      <c r="K31" s="487"/>
      <c r="L31" s="471">
        <f t="shared" si="16"/>
        <v>0</v>
      </c>
      <c r="M31" s="471">
        <f t="shared" si="27"/>
        <v>0</v>
      </c>
      <c r="N31" s="488">
        <f>IF(Sep!$H$47="x",AV31+Sep!$N$36,AV31)</f>
        <v>12.349999999999994</v>
      </c>
      <c r="O31" s="483" t="str">
        <f t="shared" si="2"/>
        <v>-</v>
      </c>
      <c r="P31" s="489">
        <f t="shared" si="3"/>
        <v>12.349999999999994</v>
      </c>
      <c r="Q31" s="474">
        <f t="shared" si="4"/>
        <v>0</v>
      </c>
      <c r="R31" s="474">
        <f t="shared" si="5"/>
        <v>0</v>
      </c>
      <c r="S31" s="474">
        <f t="shared" si="6"/>
        <v>0</v>
      </c>
      <c r="T31" s="474">
        <f t="shared" si="7"/>
        <v>0</v>
      </c>
      <c r="U31" s="488">
        <f t="shared" si="8"/>
        <v>0</v>
      </c>
      <c r="V31" s="488">
        <f t="shared" si="38"/>
        <v>0</v>
      </c>
      <c r="W31" s="471">
        <f t="shared" si="9"/>
        <v>0</v>
      </c>
      <c r="X31" s="471">
        <f t="shared" si="10"/>
        <v>0</v>
      </c>
      <c r="Y31" s="470"/>
      <c r="Z31" s="470"/>
      <c r="AA31" s="469"/>
      <c r="AB31" s="475">
        <f t="shared" si="18"/>
        <v>0</v>
      </c>
      <c r="AC31" s="475">
        <f t="shared" si="19"/>
        <v>0</v>
      </c>
      <c r="AD31" s="475">
        <f t="shared" si="20"/>
        <v>0</v>
      </c>
      <c r="AE31" s="475">
        <f t="shared" si="21"/>
        <v>0</v>
      </c>
      <c r="AF31" s="476">
        <f t="shared" si="22"/>
        <v>0</v>
      </c>
      <c r="AG31" s="475">
        <f t="shared" si="23"/>
        <v>0</v>
      </c>
      <c r="AH31" s="476">
        <f t="shared" si="24"/>
        <v>0</v>
      </c>
      <c r="AI31" s="475">
        <f t="shared" si="25"/>
        <v>0</v>
      </c>
      <c r="AJ31" s="477">
        <f>IF((D31&lt;&gt;""),VLOOKUP(D31,Données!$E$36:$H$59,4,FALSE),)</f>
        <v>0</v>
      </c>
      <c r="AK31" s="477">
        <f t="shared" si="0"/>
        <v>0</v>
      </c>
      <c r="AL31" s="478">
        <f t="shared" si="28"/>
        <v>0</v>
      </c>
      <c r="AM31" s="479">
        <f t="shared" si="29"/>
        <v>0</v>
      </c>
      <c r="AN31" s="480">
        <f t="shared" si="11"/>
        <v>0</v>
      </c>
      <c r="AO31" s="477">
        <f t="shared" si="12"/>
        <v>0</v>
      </c>
      <c r="AP31" s="481">
        <f t="shared" si="30"/>
        <v>0</v>
      </c>
      <c r="AQ31" s="481">
        <f t="shared" si="31"/>
        <v>0</v>
      </c>
      <c r="AR31" s="481">
        <f t="shared" si="32"/>
        <v>0</v>
      </c>
      <c r="AS31" s="481">
        <f t="shared" si="33"/>
        <v>0</v>
      </c>
      <c r="AT31" s="479">
        <f t="shared" si="13"/>
        <v>0</v>
      </c>
      <c r="AU31" s="479">
        <f t="shared" si="14"/>
        <v>0</v>
      </c>
      <c r="AV31" s="471">
        <f>IF(Données!$H$8="x",AW31,AX31)</f>
        <v>5.3833333333333311</v>
      </c>
      <c r="AW31" s="471">
        <f t="shared" si="1"/>
        <v>2.6916666666666655</v>
      </c>
      <c r="AX31" s="471">
        <f t="shared" si="39"/>
        <v>5.3833333333333311</v>
      </c>
      <c r="AY31" s="467" t="str">
        <f t="shared" si="15"/>
        <v>Ma</v>
      </c>
      <c r="AZ31" s="7">
        <f>IF((S40="O3")*AND(S41&lt;&gt;""),VLOOKUP(S41,Échelle!$W$39:$X$65,2),)</f>
        <v>0</v>
      </c>
      <c r="BA31" s="4" t="s">
        <v>24</v>
      </c>
      <c r="BB31" s="148"/>
    </row>
    <row r="32" spans="2:54" x14ac:dyDescent="0.2">
      <c r="B32" s="467" t="s">
        <v>178</v>
      </c>
      <c r="C32" s="468" t="s">
        <v>566</v>
      </c>
      <c r="D32" s="469"/>
      <c r="E32" s="469"/>
      <c r="F32" s="470"/>
      <c r="G32" s="470"/>
      <c r="H32" s="470"/>
      <c r="I32" s="470"/>
      <c r="J32" s="487"/>
      <c r="K32" s="487"/>
      <c r="L32" s="471">
        <f t="shared" si="16"/>
        <v>0</v>
      </c>
      <c r="M32" s="471">
        <f t="shared" si="27"/>
        <v>0</v>
      </c>
      <c r="N32" s="488">
        <f>IF(Sep!$H$47="x",AV32+Sep!$N$36,AV32)</f>
        <v>12.666666666666661</v>
      </c>
      <c r="O32" s="483" t="str">
        <f t="shared" si="2"/>
        <v>-</v>
      </c>
      <c r="P32" s="489">
        <f t="shared" si="3"/>
        <v>12.666666666666661</v>
      </c>
      <c r="Q32" s="474">
        <f t="shared" si="4"/>
        <v>0</v>
      </c>
      <c r="R32" s="474">
        <f t="shared" si="5"/>
        <v>0</v>
      </c>
      <c r="S32" s="474">
        <f t="shared" si="6"/>
        <v>0</v>
      </c>
      <c r="T32" s="474">
        <f t="shared" si="7"/>
        <v>0</v>
      </c>
      <c r="U32" s="488">
        <f t="shared" si="8"/>
        <v>0</v>
      </c>
      <c r="V32" s="488">
        <f t="shared" si="38"/>
        <v>0</v>
      </c>
      <c r="W32" s="471">
        <f t="shared" si="9"/>
        <v>0</v>
      </c>
      <c r="X32" s="471">
        <f t="shared" si="10"/>
        <v>0</v>
      </c>
      <c r="Y32" s="470"/>
      <c r="Z32" s="470"/>
      <c r="AA32" s="469"/>
      <c r="AB32" s="475">
        <f t="shared" si="18"/>
        <v>0</v>
      </c>
      <c r="AC32" s="475">
        <f t="shared" si="19"/>
        <v>0</v>
      </c>
      <c r="AD32" s="475">
        <f t="shared" si="20"/>
        <v>0</v>
      </c>
      <c r="AE32" s="475">
        <f t="shared" si="21"/>
        <v>0</v>
      </c>
      <c r="AF32" s="476">
        <f t="shared" si="22"/>
        <v>0</v>
      </c>
      <c r="AG32" s="475">
        <f t="shared" si="23"/>
        <v>0</v>
      </c>
      <c r="AH32" s="476">
        <f t="shared" si="24"/>
        <v>0</v>
      </c>
      <c r="AI32" s="475">
        <f t="shared" si="25"/>
        <v>0</v>
      </c>
      <c r="AJ32" s="477">
        <f>IF((D32&lt;&gt;""),VLOOKUP(D32,Données!$E$36:$H$59,4,FALSE),)</f>
        <v>0</v>
      </c>
      <c r="AK32" s="477">
        <f t="shared" si="0"/>
        <v>0</v>
      </c>
      <c r="AL32" s="478">
        <f t="shared" si="28"/>
        <v>0</v>
      </c>
      <c r="AM32" s="479">
        <f t="shared" si="29"/>
        <v>0</v>
      </c>
      <c r="AN32" s="480">
        <f t="shared" si="11"/>
        <v>0</v>
      </c>
      <c r="AO32" s="477">
        <f t="shared" si="12"/>
        <v>0</v>
      </c>
      <c r="AP32" s="481">
        <f t="shared" si="30"/>
        <v>0</v>
      </c>
      <c r="AQ32" s="481">
        <f t="shared" si="31"/>
        <v>0</v>
      </c>
      <c r="AR32" s="481">
        <f t="shared" si="32"/>
        <v>0</v>
      </c>
      <c r="AS32" s="481">
        <f t="shared" si="33"/>
        <v>0</v>
      </c>
      <c r="AT32" s="479">
        <f t="shared" si="13"/>
        <v>0</v>
      </c>
      <c r="AU32" s="479">
        <f t="shared" si="14"/>
        <v>0</v>
      </c>
      <c r="AV32" s="471">
        <f>IF(Données!$H$8="x",AW32,AX32)</f>
        <v>5.6999999999999975</v>
      </c>
      <c r="AW32" s="471">
        <f t="shared" si="1"/>
        <v>2.8499999999999988</v>
      </c>
      <c r="AX32" s="471">
        <f t="shared" si="39"/>
        <v>5.6999999999999975</v>
      </c>
      <c r="AY32" s="467" t="str">
        <f t="shared" si="15"/>
        <v>Me</v>
      </c>
      <c r="AZ32" s="7">
        <f>IF((S40="O3ir")*AND(S41&lt;&gt;""),VLOOKUP(S41,Échelle!$AU$39:$AV$65,2),)</f>
        <v>0</v>
      </c>
      <c r="BA32" s="4" t="s">
        <v>32</v>
      </c>
      <c r="BB32" s="148"/>
    </row>
    <row r="33" spans="2:54" x14ac:dyDescent="0.2">
      <c r="B33" s="467" t="s">
        <v>180</v>
      </c>
      <c r="C33" s="468" t="s">
        <v>567</v>
      </c>
      <c r="D33" s="469"/>
      <c r="E33" s="469"/>
      <c r="F33" s="470"/>
      <c r="G33" s="470"/>
      <c r="H33" s="470"/>
      <c r="I33" s="470"/>
      <c r="J33" s="487"/>
      <c r="K33" s="487"/>
      <c r="L33" s="471">
        <f t="shared" si="16"/>
        <v>0</v>
      </c>
      <c r="M33" s="471">
        <f t="shared" si="27"/>
        <v>0</v>
      </c>
      <c r="N33" s="488">
        <f>IF(Sep!$H$47="x",AV33+Sep!$N$36,AV33)</f>
        <v>12.983333333333327</v>
      </c>
      <c r="O33" s="483" t="str">
        <f t="shared" si="2"/>
        <v>-</v>
      </c>
      <c r="P33" s="489">
        <f t="shared" si="3"/>
        <v>12.983333333333327</v>
      </c>
      <c r="Q33" s="474">
        <f t="shared" si="4"/>
        <v>0</v>
      </c>
      <c r="R33" s="474">
        <f t="shared" si="5"/>
        <v>0</v>
      </c>
      <c r="S33" s="474">
        <f t="shared" si="6"/>
        <v>0</v>
      </c>
      <c r="T33" s="474">
        <f t="shared" si="7"/>
        <v>0</v>
      </c>
      <c r="U33" s="488">
        <f t="shared" si="8"/>
        <v>0</v>
      </c>
      <c r="V33" s="488">
        <f t="shared" si="38"/>
        <v>0</v>
      </c>
      <c r="W33" s="471">
        <f t="shared" si="9"/>
        <v>0</v>
      </c>
      <c r="X33" s="471">
        <f t="shared" si="10"/>
        <v>0</v>
      </c>
      <c r="Y33" s="470"/>
      <c r="Z33" s="470"/>
      <c r="AA33" s="469"/>
      <c r="AB33" s="475">
        <f t="shared" si="18"/>
        <v>0</v>
      </c>
      <c r="AC33" s="475">
        <f t="shared" si="19"/>
        <v>0</v>
      </c>
      <c r="AD33" s="475">
        <f t="shared" si="20"/>
        <v>0</v>
      </c>
      <c r="AE33" s="475">
        <f t="shared" si="21"/>
        <v>0</v>
      </c>
      <c r="AF33" s="476">
        <f t="shared" si="22"/>
        <v>0</v>
      </c>
      <c r="AG33" s="475">
        <f t="shared" si="23"/>
        <v>0</v>
      </c>
      <c r="AH33" s="476">
        <f t="shared" si="24"/>
        <v>0</v>
      </c>
      <c r="AI33" s="475">
        <f t="shared" si="25"/>
        <v>0</v>
      </c>
      <c r="AJ33" s="477">
        <f>IF((D33&lt;&gt;""),VLOOKUP(D33,Données!$E$36:$H$59,4,FALSE),)</f>
        <v>0</v>
      </c>
      <c r="AK33" s="477">
        <f t="shared" si="0"/>
        <v>0</v>
      </c>
      <c r="AL33" s="478">
        <f t="shared" si="28"/>
        <v>0</v>
      </c>
      <c r="AM33" s="479">
        <f t="shared" si="29"/>
        <v>0</v>
      </c>
      <c r="AN33" s="480">
        <f t="shared" si="11"/>
        <v>0</v>
      </c>
      <c r="AO33" s="477">
        <f t="shared" si="12"/>
        <v>0</v>
      </c>
      <c r="AP33" s="481">
        <f t="shared" si="30"/>
        <v>0</v>
      </c>
      <c r="AQ33" s="481">
        <f t="shared" si="31"/>
        <v>0</v>
      </c>
      <c r="AR33" s="481">
        <f t="shared" si="32"/>
        <v>0</v>
      </c>
      <c r="AS33" s="481">
        <f t="shared" si="33"/>
        <v>0</v>
      </c>
      <c r="AT33" s="479">
        <f t="shared" si="13"/>
        <v>0</v>
      </c>
      <c r="AU33" s="479">
        <f t="shared" si="14"/>
        <v>0</v>
      </c>
      <c r="AV33" s="471">
        <f>IF(Données!$H$8="x",AW33,AX33)</f>
        <v>6.0166666666666639</v>
      </c>
      <c r="AW33" s="471">
        <f t="shared" si="1"/>
        <v>3.008333333333332</v>
      </c>
      <c r="AX33" s="471">
        <f t="shared" si="39"/>
        <v>6.0166666666666639</v>
      </c>
      <c r="AY33" s="467" t="str">
        <f t="shared" si="15"/>
        <v>Je</v>
      </c>
      <c r="AZ33" s="7">
        <f>IF((S40="O4")*AND(S41&lt;&gt;""),VLOOKUP(S41,Échelle!$Z$39:$AA$65,2),)</f>
        <v>0</v>
      </c>
      <c r="BA33" s="4" t="s">
        <v>25</v>
      </c>
      <c r="BB33" s="148"/>
    </row>
    <row r="34" spans="2:54" x14ac:dyDescent="0.2">
      <c r="B34" s="467" t="s">
        <v>182</v>
      </c>
      <c r="C34" s="485" t="s">
        <v>568</v>
      </c>
      <c r="D34" s="486"/>
      <c r="E34" s="486"/>
      <c r="F34" s="470"/>
      <c r="G34" s="470"/>
      <c r="H34" s="470"/>
      <c r="I34" s="470"/>
      <c r="J34" s="487"/>
      <c r="K34" s="487"/>
      <c r="L34" s="471">
        <f t="shared" si="16"/>
        <v>0</v>
      </c>
      <c r="M34" s="471">
        <f>M33+L34</f>
        <v>0</v>
      </c>
      <c r="N34" s="488">
        <f>IF(Sep!$H$47="x",AV34+Sep!$N$36,AV34)</f>
        <v>13.299999999999994</v>
      </c>
      <c r="O34" s="483" t="str">
        <f t="shared" si="2"/>
        <v>-</v>
      </c>
      <c r="P34" s="489">
        <f t="shared" si="3"/>
        <v>13.299999999999994</v>
      </c>
      <c r="Q34" s="474">
        <f t="shared" si="4"/>
        <v>0</v>
      </c>
      <c r="R34" s="474">
        <f t="shared" si="5"/>
        <v>0</v>
      </c>
      <c r="S34" s="474">
        <f t="shared" si="6"/>
        <v>0</v>
      </c>
      <c r="T34" s="474">
        <f t="shared" si="7"/>
        <v>0</v>
      </c>
      <c r="U34" s="488">
        <f t="shared" si="8"/>
        <v>0</v>
      </c>
      <c r="V34" s="488">
        <f t="shared" si="38"/>
        <v>0</v>
      </c>
      <c r="W34" s="471">
        <f t="shared" si="9"/>
        <v>0</v>
      </c>
      <c r="X34" s="471">
        <f t="shared" si="10"/>
        <v>0</v>
      </c>
      <c r="Y34" s="470"/>
      <c r="Z34" s="470"/>
      <c r="AA34" s="469"/>
      <c r="AB34" s="475">
        <f t="shared" si="18"/>
        <v>0</v>
      </c>
      <c r="AC34" s="475">
        <f t="shared" si="19"/>
        <v>0</v>
      </c>
      <c r="AD34" s="475">
        <f t="shared" si="20"/>
        <v>0</v>
      </c>
      <c r="AE34" s="475">
        <f t="shared" si="21"/>
        <v>0</v>
      </c>
      <c r="AF34" s="476">
        <f t="shared" si="22"/>
        <v>0</v>
      </c>
      <c r="AG34" s="475">
        <f t="shared" si="23"/>
        <v>0</v>
      </c>
      <c r="AH34" s="476">
        <f t="shared" si="24"/>
        <v>0</v>
      </c>
      <c r="AI34" s="475">
        <f t="shared" si="25"/>
        <v>0</v>
      </c>
      <c r="AJ34" s="477">
        <f>IF((D34&lt;&gt;""),VLOOKUP(D34,Données!$E$36:$H$59,4,FALSE),)</f>
        <v>0</v>
      </c>
      <c r="AK34" s="477">
        <f t="shared" si="0"/>
        <v>0</v>
      </c>
      <c r="AL34" s="478">
        <f t="shared" si="28"/>
        <v>0</v>
      </c>
      <c r="AM34" s="479">
        <f t="shared" si="29"/>
        <v>0</v>
      </c>
      <c r="AN34" s="480">
        <f t="shared" si="11"/>
        <v>0</v>
      </c>
      <c r="AO34" s="477">
        <f t="shared" si="12"/>
        <v>0</v>
      </c>
      <c r="AP34" s="481">
        <f t="shared" si="30"/>
        <v>0</v>
      </c>
      <c r="AQ34" s="481">
        <f t="shared" si="31"/>
        <v>0</v>
      </c>
      <c r="AR34" s="481">
        <f t="shared" si="32"/>
        <v>0</v>
      </c>
      <c r="AS34" s="481">
        <f t="shared" si="33"/>
        <v>0</v>
      </c>
      <c r="AT34" s="479">
        <f t="shared" si="13"/>
        <v>0</v>
      </c>
      <c r="AU34" s="479">
        <f t="shared" si="14"/>
        <v>0</v>
      </c>
      <c r="AV34" s="471">
        <f>IF(Données!$H$8="x",AW34,AX34)</f>
        <v>6.3333333333333304</v>
      </c>
      <c r="AW34" s="471">
        <f t="shared" si="1"/>
        <v>3.1666666666666652</v>
      </c>
      <c r="AX34" s="471">
        <f t="shared" si="39"/>
        <v>6.3333333333333304</v>
      </c>
      <c r="AY34" s="467" t="str">
        <f t="shared" si="15"/>
        <v>Ve</v>
      </c>
      <c r="AZ34" s="7">
        <f>IF((S40="O4bis")*AND(S41&lt;&gt;""),VLOOKUP(S41,Échelle!$BG$39:$BH$65,2),)</f>
        <v>0</v>
      </c>
      <c r="BA34" s="4" t="s">
        <v>36</v>
      </c>
      <c r="BB34" s="148"/>
    </row>
    <row r="35" spans="2:54" x14ac:dyDescent="0.2">
      <c r="B35" s="403" t="s">
        <v>184</v>
      </c>
      <c r="C35" s="412" t="s">
        <v>569</v>
      </c>
      <c r="D35" s="411"/>
      <c r="E35" s="411"/>
      <c r="F35" s="401"/>
      <c r="G35" s="401"/>
      <c r="H35" s="401"/>
      <c r="I35" s="401"/>
      <c r="J35" s="516"/>
      <c r="K35" s="516"/>
      <c r="L35" s="402">
        <f>(G35-F35)+(I35-H35)+(K35-J35)</f>
        <v>0</v>
      </c>
      <c r="M35" s="402">
        <f>M34+L35</f>
        <v>0</v>
      </c>
      <c r="N35" s="407">
        <f>IF(Sep!$H$47="x",AV35+Sep!$N$36,AV35)</f>
        <v>13.299999999999994</v>
      </c>
      <c r="O35" s="408" t="str">
        <f t="shared" si="2"/>
        <v>-</v>
      </c>
      <c r="P35" s="409">
        <f t="shared" si="3"/>
        <v>13.299999999999994</v>
      </c>
      <c r="Q35" s="410">
        <f t="shared" si="4"/>
        <v>0</v>
      </c>
      <c r="R35" s="410">
        <f t="shared" si="5"/>
        <v>0</v>
      </c>
      <c r="S35" s="410">
        <f t="shared" si="6"/>
        <v>0</v>
      </c>
      <c r="T35" s="410">
        <f t="shared" si="7"/>
        <v>0</v>
      </c>
      <c r="U35" s="407">
        <f t="shared" si="8"/>
        <v>0</v>
      </c>
      <c r="V35" s="407">
        <f>L35</f>
        <v>0</v>
      </c>
      <c r="W35" s="402">
        <f t="shared" si="9"/>
        <v>0</v>
      </c>
      <c r="X35" s="402">
        <f t="shared" si="10"/>
        <v>0</v>
      </c>
      <c r="Y35" s="401"/>
      <c r="Z35" s="401"/>
      <c r="AA35" s="411"/>
      <c r="AB35" s="420">
        <f t="shared" si="18"/>
        <v>0</v>
      </c>
      <c r="AC35" s="420">
        <f t="shared" si="19"/>
        <v>0</v>
      </c>
      <c r="AD35" s="420">
        <f t="shared" si="20"/>
        <v>0</v>
      </c>
      <c r="AE35" s="420">
        <f t="shared" si="21"/>
        <v>0</v>
      </c>
      <c r="AF35" s="421">
        <f t="shared" si="22"/>
        <v>0</v>
      </c>
      <c r="AG35" s="420">
        <f t="shared" si="23"/>
        <v>0</v>
      </c>
      <c r="AH35" s="421">
        <f t="shared" si="24"/>
        <v>0</v>
      </c>
      <c r="AI35" s="420">
        <f t="shared" si="25"/>
        <v>0</v>
      </c>
      <c r="AJ35" s="422">
        <f>IF((D35&lt;&gt;""),VLOOKUP(D35,Données!$E$36:$H$59,4,FALSE),)</f>
        <v>0</v>
      </c>
      <c r="AK35" s="422">
        <f t="shared" si="0"/>
        <v>0</v>
      </c>
      <c r="AL35" s="423">
        <f t="shared" si="28"/>
        <v>0</v>
      </c>
      <c r="AM35" s="424">
        <f t="shared" si="29"/>
        <v>0</v>
      </c>
      <c r="AN35" s="425">
        <f t="shared" si="11"/>
        <v>0</v>
      </c>
      <c r="AO35" s="422">
        <f t="shared" si="12"/>
        <v>0</v>
      </c>
      <c r="AP35" s="426">
        <f t="shared" si="30"/>
        <v>0</v>
      </c>
      <c r="AQ35" s="426">
        <f t="shared" si="31"/>
        <v>0</v>
      </c>
      <c r="AR35" s="426">
        <f t="shared" si="32"/>
        <v>0</v>
      </c>
      <c r="AS35" s="426">
        <f t="shared" si="33"/>
        <v>0</v>
      </c>
      <c r="AT35" s="424">
        <f t="shared" si="13"/>
        <v>0</v>
      </c>
      <c r="AU35" s="424">
        <f t="shared" si="14"/>
        <v>0</v>
      </c>
      <c r="AV35" s="402">
        <f>IF(Données!$H$8="x",AW35,AX35)</f>
        <v>6.3333333333333304</v>
      </c>
      <c r="AW35" s="402">
        <f t="shared" si="1"/>
        <v>3.1666666666666652</v>
      </c>
      <c r="AX35" s="402">
        <f>AX34</f>
        <v>6.3333333333333304</v>
      </c>
      <c r="AY35" s="403" t="str">
        <f t="shared" si="15"/>
        <v>Sa</v>
      </c>
      <c r="AZ35" s="423">
        <f>IF((S40="O4bis-ir")*AND(S41&lt;&gt;""),VLOOKUP(S41,Échelle!$AO$39:$AP$65,2),)</f>
        <v>0</v>
      </c>
      <c r="BA35" s="424" t="s">
        <v>30</v>
      </c>
      <c r="BB35" s="148"/>
    </row>
    <row r="36" spans="2:54" x14ac:dyDescent="0.2">
      <c r="B36" s="403" t="s">
        <v>186</v>
      </c>
      <c r="C36" s="412" t="s">
        <v>570</v>
      </c>
      <c r="D36" s="411"/>
      <c r="E36" s="411"/>
      <c r="F36" s="401"/>
      <c r="G36" s="401"/>
      <c r="H36" s="401"/>
      <c r="I36" s="401"/>
      <c r="J36" s="406"/>
      <c r="K36" s="406"/>
      <c r="L36" s="402">
        <f>(G36-F36)+(I36-H36)+(K36-J36)</f>
        <v>0</v>
      </c>
      <c r="M36" s="402">
        <f t="shared" si="27"/>
        <v>0</v>
      </c>
      <c r="N36" s="407">
        <f>IF(Sep!$H$47="x",AV36+Sep!$N$36,AV36)</f>
        <v>13.299999999999994</v>
      </c>
      <c r="O36" s="408" t="str">
        <f t="shared" si="2"/>
        <v>-</v>
      </c>
      <c r="P36" s="409">
        <f t="shared" si="3"/>
        <v>13.299999999999994</v>
      </c>
      <c r="Q36" s="410">
        <f t="shared" si="4"/>
        <v>0</v>
      </c>
      <c r="R36" s="410">
        <f t="shared" si="5"/>
        <v>0</v>
      </c>
      <c r="S36" s="410">
        <f t="shared" si="6"/>
        <v>0</v>
      </c>
      <c r="T36" s="410">
        <f t="shared" si="7"/>
        <v>0</v>
      </c>
      <c r="U36" s="407">
        <f t="shared" si="8"/>
        <v>0</v>
      </c>
      <c r="V36" s="407">
        <f>L36</f>
        <v>0</v>
      </c>
      <c r="W36" s="402">
        <f t="shared" si="9"/>
        <v>0</v>
      </c>
      <c r="X36" s="402">
        <f t="shared" si="10"/>
        <v>0</v>
      </c>
      <c r="Y36" s="401"/>
      <c r="Z36" s="401"/>
      <c r="AA36" s="411"/>
      <c r="AB36" s="420">
        <f t="shared" si="18"/>
        <v>0</v>
      </c>
      <c r="AC36" s="420">
        <f t="shared" si="19"/>
        <v>0</v>
      </c>
      <c r="AD36" s="420">
        <f t="shared" si="20"/>
        <v>0</v>
      </c>
      <c r="AE36" s="420">
        <f t="shared" si="21"/>
        <v>0</v>
      </c>
      <c r="AF36" s="421">
        <f t="shared" si="22"/>
        <v>0</v>
      </c>
      <c r="AG36" s="420">
        <f t="shared" si="23"/>
        <v>0</v>
      </c>
      <c r="AH36" s="421">
        <f t="shared" si="24"/>
        <v>0</v>
      </c>
      <c r="AI36" s="420">
        <f t="shared" si="25"/>
        <v>0</v>
      </c>
      <c r="AJ36" s="422">
        <f>IF((D36&lt;&gt;""),VLOOKUP(D36,Données!$E$36:$H$59,4,FALSE),)</f>
        <v>0</v>
      </c>
      <c r="AK36" s="422">
        <f t="shared" si="0"/>
        <v>0</v>
      </c>
      <c r="AL36" s="423">
        <f t="shared" si="28"/>
        <v>0</v>
      </c>
      <c r="AM36" s="424">
        <f t="shared" si="29"/>
        <v>0</v>
      </c>
      <c r="AN36" s="425">
        <f t="shared" si="11"/>
        <v>0</v>
      </c>
      <c r="AO36" s="422">
        <f t="shared" si="12"/>
        <v>0</v>
      </c>
      <c r="AP36" s="426">
        <f t="shared" si="30"/>
        <v>0</v>
      </c>
      <c r="AQ36" s="426">
        <f t="shared" si="31"/>
        <v>0</v>
      </c>
      <c r="AR36" s="426">
        <f t="shared" si="32"/>
        <v>0</v>
      </c>
      <c r="AS36" s="426">
        <f t="shared" si="33"/>
        <v>0</v>
      </c>
      <c r="AT36" s="424">
        <f t="shared" si="13"/>
        <v>0</v>
      </c>
      <c r="AU36" s="424">
        <f t="shared" si="14"/>
        <v>0</v>
      </c>
      <c r="AV36" s="402">
        <f>IF(Données!$H$8="x",AW36,AX36)</f>
        <v>6.3333333333333304</v>
      </c>
      <c r="AW36" s="402">
        <f t="shared" si="1"/>
        <v>3.1666666666666652</v>
      </c>
      <c r="AX36" s="402">
        <f>AX35</f>
        <v>6.3333333333333304</v>
      </c>
      <c r="AY36" s="403" t="str">
        <f t="shared" si="15"/>
        <v>Di</v>
      </c>
      <c r="AZ36" s="423">
        <f>IF((S40="O4ir")*AND(S41&lt;&gt;""),VLOOKUP(S41,Échelle!$AX$39:$AY$65,2),)</f>
        <v>0</v>
      </c>
      <c r="BA36" s="424" t="s">
        <v>33</v>
      </c>
      <c r="BB36" s="148"/>
    </row>
    <row r="37" spans="2:54" x14ac:dyDescent="0.2">
      <c r="B37" s="497" t="s">
        <v>188</v>
      </c>
      <c r="C37" s="498" t="s">
        <v>571</v>
      </c>
      <c r="D37" s="499" t="s">
        <v>90</v>
      </c>
      <c r="E37" s="499"/>
      <c r="F37" s="500"/>
      <c r="G37" s="500"/>
      <c r="H37" s="500"/>
      <c r="I37" s="500"/>
      <c r="J37" s="514"/>
      <c r="K37" s="514"/>
      <c r="L37" s="501">
        <f>(G37-F37)+(I37-H37)+(K37-J37)+AJ37+AO37</f>
        <v>0.31666666666666665</v>
      </c>
      <c r="M37" s="501">
        <f t="shared" si="27"/>
        <v>0.31666666666666665</v>
      </c>
      <c r="N37" s="502">
        <f>IF(Sep!$H$47="x",AV37+Sep!$N$36,AV37)</f>
        <v>13.61666666666666</v>
      </c>
      <c r="O37" s="503" t="str">
        <f t="shared" si="2"/>
        <v>-</v>
      </c>
      <c r="P37" s="515">
        <f t="shared" si="3"/>
        <v>13.299999999999994</v>
      </c>
      <c r="Q37" s="505">
        <f t="shared" si="4"/>
        <v>0</v>
      </c>
      <c r="R37" s="505">
        <f t="shared" si="5"/>
        <v>0</v>
      </c>
      <c r="S37" s="505">
        <f t="shared" si="6"/>
        <v>0</v>
      </c>
      <c r="T37" s="505">
        <f t="shared" si="7"/>
        <v>0</v>
      </c>
      <c r="U37" s="502">
        <f t="shared" si="8"/>
        <v>0</v>
      </c>
      <c r="V37" s="502">
        <f>IF(D37="F",L37,0)</f>
        <v>0</v>
      </c>
      <c r="W37" s="501">
        <f t="shared" si="9"/>
        <v>0</v>
      </c>
      <c r="X37" s="501">
        <f t="shared" si="10"/>
        <v>0</v>
      </c>
      <c r="Y37" s="500"/>
      <c r="Z37" s="500"/>
      <c r="AA37" s="499"/>
      <c r="AB37" s="506">
        <f t="shared" si="18"/>
        <v>0</v>
      </c>
      <c r="AC37" s="506">
        <f t="shared" si="19"/>
        <v>0</v>
      </c>
      <c r="AD37" s="506">
        <f t="shared" si="20"/>
        <v>0</v>
      </c>
      <c r="AE37" s="506">
        <f t="shared" si="21"/>
        <v>0</v>
      </c>
      <c r="AF37" s="507">
        <f t="shared" si="22"/>
        <v>0</v>
      </c>
      <c r="AG37" s="506">
        <f t="shared" si="23"/>
        <v>0</v>
      </c>
      <c r="AH37" s="507">
        <f t="shared" si="24"/>
        <v>0</v>
      </c>
      <c r="AI37" s="506">
        <f t="shared" si="25"/>
        <v>0</v>
      </c>
      <c r="AJ37" s="508">
        <f>IF((D37&lt;&gt;""),VLOOKUP(D37,Données!$E$36:$H$59,4,FALSE),)</f>
        <v>0</v>
      </c>
      <c r="AK37" s="508">
        <f t="shared" si="0"/>
        <v>0</v>
      </c>
      <c r="AL37" s="509" t="str">
        <f t="shared" si="28"/>
        <v>JP</v>
      </c>
      <c r="AM37" s="510">
        <f t="shared" si="29"/>
        <v>0</v>
      </c>
      <c r="AN37" s="511">
        <f t="shared" si="11"/>
        <v>0</v>
      </c>
      <c r="AO37" s="508" t="str">
        <f t="shared" si="12"/>
        <v>07:36</v>
      </c>
      <c r="AP37" s="512">
        <f t="shared" si="30"/>
        <v>0</v>
      </c>
      <c r="AQ37" s="512">
        <f t="shared" si="31"/>
        <v>0</v>
      </c>
      <c r="AR37" s="512">
        <f t="shared" si="32"/>
        <v>0</v>
      </c>
      <c r="AS37" s="512">
        <f t="shared" si="33"/>
        <v>0</v>
      </c>
      <c r="AT37" s="510">
        <f t="shared" si="13"/>
        <v>0</v>
      </c>
      <c r="AU37" s="510">
        <f t="shared" si="14"/>
        <v>0</v>
      </c>
      <c r="AV37" s="501">
        <f>IF(Données!$H$8="x",AW37,AX37)</f>
        <v>6.6499999999999968</v>
      </c>
      <c r="AW37" s="501">
        <f t="shared" si="1"/>
        <v>3.3249999999999984</v>
      </c>
      <c r="AX37" s="501">
        <f>IF(D37="V",AX36,(AX36+"07:36"))</f>
        <v>6.6499999999999968</v>
      </c>
      <c r="AY37" s="497" t="str">
        <f t="shared" si="15"/>
        <v>Lu</v>
      </c>
      <c r="AZ37" s="509">
        <f>IF((S40="O5")*AND(S41&lt;&gt;""),VLOOKUP(S41,Échelle!$AC$39:$AD$65,2),)</f>
        <v>0</v>
      </c>
      <c r="BA37" s="510" t="s">
        <v>26</v>
      </c>
      <c r="BB37" s="148"/>
    </row>
    <row r="38" spans="2:54" x14ac:dyDescent="0.2">
      <c r="AB38" s="200">
        <f t="shared" ref="AB38:AI38" si="40">SUM(AB7:AB37)</f>
        <v>0</v>
      </c>
      <c r="AC38" s="200">
        <f t="shared" si="40"/>
        <v>0</v>
      </c>
      <c r="AD38" s="200">
        <f t="shared" si="40"/>
        <v>0</v>
      </c>
      <c r="AE38" s="200">
        <f t="shared" si="40"/>
        <v>0</v>
      </c>
      <c r="AF38" s="200">
        <f t="shared" si="40"/>
        <v>0</v>
      </c>
      <c r="AG38" s="200">
        <f t="shared" si="40"/>
        <v>0</v>
      </c>
      <c r="AH38" s="200">
        <f t="shared" si="40"/>
        <v>0</v>
      </c>
      <c r="AI38" s="200">
        <f t="shared" si="40"/>
        <v>0</v>
      </c>
      <c r="AK38" s="200">
        <f>SUM(AK7:AK37)</f>
        <v>0</v>
      </c>
      <c r="AM38" s="4">
        <f>SUM(AM7:AM37)+AT38</f>
        <v>0</v>
      </c>
      <c r="AN38" s="39"/>
      <c r="AO38" s="7"/>
      <c r="AP38" s="4">
        <f>SUM(AP7:AP37)</f>
        <v>0</v>
      </c>
      <c r="AQ38" s="4">
        <f>SUM(AQ7:AQ37)</f>
        <v>0</v>
      </c>
      <c r="AR38" s="4">
        <f>SUM(AR7:AR37)</f>
        <v>0</v>
      </c>
      <c r="AS38" s="4">
        <f>SUM(AS7:AS37)</f>
        <v>0</v>
      </c>
      <c r="AT38" s="4">
        <f>SUM(AT7:AT37)</f>
        <v>0</v>
      </c>
      <c r="AU38" s="4">
        <f>SUM(AU7:AU37)+AT38</f>
        <v>0</v>
      </c>
      <c r="AW38" s="28"/>
      <c r="AZ38" s="7">
        <f>IF((S40="O5ir")*AND(S41&lt;&gt;""),VLOOKUP(S41,Échelle!$BA$39:$BB$65,2),)</f>
        <v>0</v>
      </c>
      <c r="BA38" s="4" t="s">
        <v>34</v>
      </c>
      <c r="BB38" s="4"/>
    </row>
    <row r="39" spans="2:54" x14ac:dyDescent="0.2">
      <c r="C39" s="35" t="s">
        <v>99</v>
      </c>
      <c r="D39" s="61"/>
      <c r="E39" s="61"/>
      <c r="F39" s="35"/>
      <c r="G39" s="35"/>
      <c r="H39" s="35"/>
      <c r="W39" s="361" t="s">
        <v>215</v>
      </c>
      <c r="X39" s="362"/>
      <c r="Z39" s="211" t="s">
        <v>216</v>
      </c>
      <c r="AA39" s="387" t="s">
        <v>217</v>
      </c>
      <c r="AB39" s="200">
        <f t="shared" ref="AB39:AI39" si="41">IF((MINUTE(AB38)&gt;=30),(AB38+0.041666667),AB38)</f>
        <v>0</v>
      </c>
      <c r="AC39" s="200">
        <f t="shared" si="41"/>
        <v>0</v>
      </c>
      <c r="AD39" s="200">
        <f t="shared" si="41"/>
        <v>0</v>
      </c>
      <c r="AE39" s="200">
        <f t="shared" si="41"/>
        <v>0</v>
      </c>
      <c r="AF39" s="200">
        <f t="shared" si="41"/>
        <v>0</v>
      </c>
      <c r="AG39" s="200">
        <f t="shared" si="41"/>
        <v>0</v>
      </c>
      <c r="AH39" s="200">
        <f t="shared" si="41"/>
        <v>0</v>
      </c>
      <c r="AI39" s="200">
        <f t="shared" si="41"/>
        <v>0</v>
      </c>
      <c r="AK39" s="200">
        <f>IF((MINUTE(AK38)&gt;=30),(AK38+0.041666667),AK38)</f>
        <v>0</v>
      </c>
      <c r="AM39" s="97">
        <f>AM38*(6.7*AA40)</f>
        <v>0</v>
      </c>
      <c r="AN39" s="39">
        <f>SUM(AN7:AN37)</f>
        <v>0</v>
      </c>
      <c r="AO39" s="7"/>
      <c r="AP39" s="4"/>
      <c r="AQ39" s="4"/>
      <c r="AR39" s="4"/>
      <c r="AS39" s="4"/>
      <c r="AT39" s="4"/>
      <c r="AU39" s="4"/>
      <c r="AW39" s="28"/>
      <c r="AZ39" s="7">
        <f>IF((S40="O6")*AND(S41&lt;&gt;""),VLOOKUP(S41,Échelle!$AF$39:$AG$65,2),)</f>
        <v>0</v>
      </c>
      <c r="BA39" s="4" t="s">
        <v>27</v>
      </c>
      <c r="BB39" s="4"/>
    </row>
    <row r="40" spans="2:54" x14ac:dyDescent="0.2">
      <c r="C40" s="62" t="s">
        <v>218</v>
      </c>
      <c r="D40" s="63"/>
      <c r="E40" s="63"/>
      <c r="F40" s="65"/>
      <c r="G40" s="64"/>
      <c r="H40" s="41">
        <f>Sep!$H$44</f>
        <v>33</v>
      </c>
      <c r="J40" s="12" t="s">
        <v>572</v>
      </c>
      <c r="K40" s="13"/>
      <c r="L40" s="14"/>
      <c r="M40" s="22"/>
      <c r="N40" s="22"/>
      <c r="O40" s="13"/>
      <c r="P40" s="14"/>
      <c r="Q40" s="14"/>
      <c r="R40" s="24"/>
      <c r="S40" s="161" t="s">
        <v>14</v>
      </c>
      <c r="T40" s="359" t="s">
        <v>220</v>
      </c>
      <c r="U40" s="360"/>
      <c r="V40" s="360"/>
      <c r="W40" s="268">
        <v>1</v>
      </c>
      <c r="X40" s="267" t="s">
        <v>221</v>
      </c>
      <c r="Z40" s="214">
        <v>1.7758</v>
      </c>
      <c r="AA40" s="388">
        <f>Z40</f>
        <v>1.7758</v>
      </c>
      <c r="AB40" s="200">
        <f t="shared" ref="AB40:AI40" si="42">IF(MINUTE(AB39)&gt;0,FLOOR(AB39,0.041666667),AB39)</f>
        <v>0</v>
      </c>
      <c r="AC40" s="200">
        <f t="shared" si="42"/>
        <v>0</v>
      </c>
      <c r="AD40" s="200">
        <f t="shared" si="42"/>
        <v>0</v>
      </c>
      <c r="AE40" s="200">
        <f t="shared" si="42"/>
        <v>0</v>
      </c>
      <c r="AF40" s="200">
        <f t="shared" si="42"/>
        <v>0</v>
      </c>
      <c r="AG40" s="200">
        <f t="shared" si="42"/>
        <v>0</v>
      </c>
      <c r="AH40" s="200">
        <f t="shared" si="42"/>
        <v>0</v>
      </c>
      <c r="AI40" s="200">
        <f t="shared" si="42"/>
        <v>0</v>
      </c>
      <c r="AK40" s="222">
        <f>IF(MINUTE(AK39)&gt;0,FLOOR(AK39,0.041666667),AK39)</f>
        <v>0</v>
      </c>
      <c r="AL40" s="4"/>
      <c r="AM40" s="4"/>
      <c r="AO40" s="4"/>
      <c r="AP40" s="4"/>
      <c r="AQ40" s="4"/>
      <c r="AR40" s="4"/>
      <c r="AS40" s="4"/>
      <c r="AT40" s="4"/>
      <c r="AU40" s="4"/>
      <c r="AZ40" s="7">
        <f>IF((S40="O6ir")*AND(S41&lt;&gt;""),VLOOKUP(S41,Échelle!$BD$39:$BE$65,2),)</f>
        <v>0</v>
      </c>
      <c r="BA40" s="4" t="s">
        <v>35</v>
      </c>
      <c r="BB40" s="4"/>
    </row>
    <row r="41" spans="2:54" ht="13.5" thickBot="1" x14ac:dyDescent="0.25">
      <c r="C41" s="62" t="s">
        <v>222</v>
      </c>
      <c r="D41" s="63"/>
      <c r="E41" s="63"/>
      <c r="F41" s="65"/>
      <c r="G41" s="64"/>
      <c r="H41" s="118">
        <v>0</v>
      </c>
      <c r="J41" s="15" t="s">
        <v>573</v>
      </c>
      <c r="K41" s="16"/>
      <c r="L41" s="17"/>
      <c r="M41" s="16"/>
      <c r="N41" s="16"/>
      <c r="O41" s="16"/>
      <c r="P41" s="17"/>
      <c r="Q41" s="17"/>
      <c r="R41" s="25"/>
      <c r="S41" s="162">
        <v>29</v>
      </c>
      <c r="T41" s="363">
        <f>AZ44</f>
        <v>33124</v>
      </c>
      <c r="U41" s="364"/>
      <c r="V41" s="365"/>
      <c r="W41" s="317">
        <v>21822</v>
      </c>
      <c r="X41" s="317">
        <v>21498.68</v>
      </c>
      <c r="Z41" s="47"/>
      <c r="AA41" s="47"/>
      <c r="AF41" s="7"/>
      <c r="AG41" s="123"/>
      <c r="AH41" s="13" t="s">
        <v>229</v>
      </c>
      <c r="AI41" s="13"/>
      <c r="AJ41" s="124"/>
      <c r="AK41" s="13" t="s">
        <v>231</v>
      </c>
      <c r="AL41" s="13"/>
      <c r="AM41" s="22"/>
      <c r="AN41" s="124"/>
      <c r="AP41" s="4"/>
      <c r="AQ41" s="4"/>
      <c r="AR41" s="4"/>
      <c r="AS41" s="4"/>
      <c r="AT41" s="4"/>
      <c r="AU41" s="4"/>
      <c r="AZ41" s="7">
        <f>IF((S40="O7")*AND(S41&lt;&gt;""),VLOOKUP(S41,Échelle!$AI$39:$AJ$65,2),)</f>
        <v>0</v>
      </c>
      <c r="BA41" s="4" t="s">
        <v>28</v>
      </c>
      <c r="BB41" s="2"/>
    </row>
    <row r="42" spans="2:54" ht="13.5" thickTop="1" x14ac:dyDescent="0.2">
      <c r="C42" s="62" t="s">
        <v>224</v>
      </c>
      <c r="D42" s="228"/>
      <c r="E42" s="228"/>
      <c r="F42" s="144"/>
      <c r="G42" s="144"/>
      <c r="H42" s="115">
        <f>AN39</f>
        <v>0</v>
      </c>
      <c r="I42" s="45"/>
      <c r="J42" s="18" t="s">
        <v>225</v>
      </c>
      <c r="K42" s="4"/>
      <c r="L42" s="98"/>
      <c r="M42" s="223">
        <f>AK40</f>
        <v>0</v>
      </c>
      <c r="N42" s="35" t="s">
        <v>226</v>
      </c>
      <c r="O42" s="75"/>
      <c r="P42" s="47"/>
      <c r="Q42" s="47"/>
      <c r="R42" s="47"/>
      <c r="S42" s="114"/>
      <c r="T42" s="116"/>
      <c r="U42" s="158">
        <f>IF(X3="x",(M42*AK43/0.041666667),0)</f>
        <v>0</v>
      </c>
      <c r="V42" s="26" t="s">
        <v>227</v>
      </c>
      <c r="W42" s="160">
        <f>IF(Z3="x",(M42*AH43/0.041666667),0)</f>
        <v>0</v>
      </c>
      <c r="X42" s="26" t="s">
        <v>227</v>
      </c>
      <c r="Z42" s="216" t="s">
        <v>228</v>
      </c>
      <c r="AA42" s="217"/>
      <c r="AF42" s="97"/>
      <c r="AG42" s="281"/>
      <c r="AH42" s="21">
        <f>X41*1.2434/1850</f>
        <v>14.449437141621623</v>
      </c>
      <c r="AI42" s="21"/>
      <c r="AJ42" s="48"/>
      <c r="AK42" s="21">
        <f>T41*AA40/1850</f>
        <v>31.795459027027029</v>
      </c>
      <c r="AL42" s="21" t="s">
        <v>230</v>
      </c>
      <c r="AM42" s="46"/>
      <c r="AN42" s="48"/>
      <c r="AP42" s="4"/>
      <c r="AQ42" s="4"/>
      <c r="AR42" s="4"/>
      <c r="AS42" s="4"/>
      <c r="AT42" s="4"/>
      <c r="AU42" s="4"/>
      <c r="AZ42" s="7">
        <f>IF((S40="O8")*AND(S41&lt;&gt;""),VLOOKUP(S41,Échelle!$AL$39:$AM$68,2),)</f>
        <v>0</v>
      </c>
      <c r="BA42" s="4" t="s">
        <v>29</v>
      </c>
      <c r="BB42" s="2"/>
    </row>
    <row r="43" spans="2:54" x14ac:dyDescent="0.2">
      <c r="C43" s="62" t="s">
        <v>232</v>
      </c>
      <c r="D43" s="63"/>
      <c r="E43" s="63"/>
      <c r="F43" s="65"/>
      <c r="G43" s="303" t="s">
        <v>233</v>
      </c>
      <c r="H43" s="41">
        <f>AB43+(AB44/2)+(AB45/2)</f>
        <v>0</v>
      </c>
      <c r="J43" s="18" t="s">
        <v>234</v>
      </c>
      <c r="K43" s="4"/>
      <c r="L43" s="47"/>
      <c r="M43" s="224">
        <f>IF(Z3="x",AD40,)</f>
        <v>0</v>
      </c>
      <c r="N43" s="35" t="s">
        <v>226</v>
      </c>
      <c r="O43" s="75"/>
      <c r="P43" s="47"/>
      <c r="Q43" s="47"/>
      <c r="R43" s="47"/>
      <c r="S43" s="18"/>
      <c r="T43" s="103"/>
      <c r="U43" s="158"/>
      <c r="V43" s="26"/>
      <c r="W43" s="160">
        <f>IF(Z3="x",(M43*AH51/0.041666667),0)</f>
        <v>0</v>
      </c>
      <c r="X43" s="26"/>
      <c r="Z43" s="218" t="s">
        <v>235</v>
      </c>
      <c r="AA43" s="219"/>
      <c r="AB43" s="4">
        <f>COUNTIF(AL7:AL37,"1")</f>
        <v>0</v>
      </c>
      <c r="AE43" s="4">
        <f>M46*78</f>
        <v>0</v>
      </c>
      <c r="AG43" s="282" t="s">
        <v>155</v>
      </c>
      <c r="AH43" s="21">
        <f>AH42*0.9645*AK49/100*1.45</f>
        <v>9.3966730714961653</v>
      </c>
      <c r="AI43" s="21"/>
      <c r="AJ43" s="48"/>
      <c r="AK43" s="213">
        <f>(AK42*0.9645)*AK49/100</f>
        <v>14.260024907678918</v>
      </c>
      <c r="AL43" s="20" t="s">
        <v>236</v>
      </c>
      <c r="AM43" s="54"/>
      <c r="AN43" s="55"/>
      <c r="AP43" s="4"/>
      <c r="AQ43" s="4"/>
      <c r="AR43" s="4"/>
      <c r="AS43" s="4"/>
      <c r="AT43" s="4"/>
      <c r="AU43" s="4"/>
      <c r="AZ43" s="7">
        <f>IF((S40=Échelle!CB3)*AND(S41&lt;&gt;""),VLOOKUP(S41,Échelle!$CB$5:$CC$38,2),)</f>
        <v>0</v>
      </c>
      <c r="BA43" s="4" t="s">
        <v>237</v>
      </c>
      <c r="BB43" s="2"/>
    </row>
    <row r="44" spans="2:54" x14ac:dyDescent="0.2">
      <c r="C44" s="304"/>
      <c r="D44" s="66"/>
      <c r="E44" s="66"/>
      <c r="F44" s="67"/>
      <c r="G44" s="68"/>
      <c r="H44" s="73"/>
      <c r="J44" s="18" t="s">
        <v>238</v>
      </c>
      <c r="K44" s="21"/>
      <c r="L44" s="21"/>
      <c r="M44" s="224">
        <f>IF(X3="x",AF40,)</f>
        <v>0</v>
      </c>
      <c r="N44" s="35" t="s">
        <v>226</v>
      </c>
      <c r="O44" s="21"/>
      <c r="P44" s="21"/>
      <c r="Q44" s="21"/>
      <c r="R44" s="21"/>
      <c r="S44" s="18"/>
      <c r="T44" s="103"/>
      <c r="U44" s="158">
        <f>IF(X3="x",(M44*AK51/0.041666667),0)</f>
        <v>0</v>
      </c>
      <c r="V44" s="26" t="s">
        <v>227</v>
      </c>
      <c r="W44" s="160"/>
      <c r="X44" s="26" t="s">
        <v>227</v>
      </c>
      <c r="Z44" s="221">
        <f>AK48</f>
        <v>53.5</v>
      </c>
      <c r="AA44" s="220"/>
      <c r="AB44" s="4">
        <f>COUNTIF(AL7:AL37,"2")</f>
        <v>0</v>
      </c>
      <c r="AE44" s="4">
        <f>M47*23</f>
        <v>0</v>
      </c>
      <c r="AG44" s="19" t="s">
        <v>239</v>
      </c>
      <c r="AH44" s="197">
        <f>(W41*1.2434/1850)*0.009645*AK49</f>
        <v>6.5779242955345953</v>
      </c>
      <c r="AI44" s="197"/>
      <c r="AJ44" s="55"/>
      <c r="AK44" s="4">
        <v>1.24</v>
      </c>
      <c r="AL44" s="4" t="s">
        <v>240</v>
      </c>
      <c r="AP44" s="4"/>
      <c r="AQ44" s="4"/>
      <c r="AR44" s="4"/>
      <c r="AS44" s="4"/>
      <c r="AT44" s="4"/>
      <c r="AU44" s="4"/>
      <c r="AZ44" s="4">
        <f>SUM(AZ7:AZ43)</f>
        <v>33124</v>
      </c>
      <c r="BB44" s="2"/>
    </row>
    <row r="45" spans="2:54" x14ac:dyDescent="0.2">
      <c r="C45" s="69" t="s">
        <v>241</v>
      </c>
      <c r="D45" s="70"/>
      <c r="E45" s="70"/>
      <c r="F45" s="71"/>
      <c r="G45" s="72"/>
      <c r="H45" s="74">
        <f>H40-H43+H41+H42</f>
        <v>33</v>
      </c>
      <c r="J45" s="18" t="s">
        <v>242</v>
      </c>
      <c r="K45" s="21"/>
      <c r="L45" s="21"/>
      <c r="M45" s="224">
        <f>IF(X3="x",AG40,)</f>
        <v>0</v>
      </c>
      <c r="N45" s="35" t="s">
        <v>226</v>
      </c>
      <c r="O45" s="21"/>
      <c r="P45" s="21"/>
      <c r="Q45" s="21"/>
      <c r="R45" s="21"/>
      <c r="S45" s="18"/>
      <c r="T45" s="103"/>
      <c r="U45" s="158">
        <f>IF(X3="x",(M45*AK52/0.041666667),0)</f>
        <v>0</v>
      </c>
      <c r="V45" s="26" t="s">
        <v>227</v>
      </c>
      <c r="W45" s="160"/>
      <c r="X45" s="26" t="s">
        <v>227</v>
      </c>
      <c r="Y45" s="47"/>
      <c r="Z45" s="47"/>
      <c r="AA45" s="47"/>
      <c r="AB45" s="4">
        <f>COUNTIF(AL7:AL37,"7")</f>
        <v>0</v>
      </c>
      <c r="AG45" s="4"/>
      <c r="AH45" s="4"/>
      <c r="AI45" s="4"/>
      <c r="AK45" s="4">
        <v>2.48</v>
      </c>
      <c r="AL45" s="4" t="s">
        <v>169</v>
      </c>
      <c r="BB45" s="2"/>
    </row>
    <row r="46" spans="2:54" x14ac:dyDescent="0.2">
      <c r="J46" s="18" t="s">
        <v>243</v>
      </c>
      <c r="K46" s="4"/>
      <c r="L46" s="47"/>
      <c r="M46" s="100">
        <f>COUNTIF(Q7:Q37,"1")</f>
        <v>0</v>
      </c>
      <c r="N46" s="18" t="s">
        <v>244</v>
      </c>
      <c r="O46" s="4"/>
      <c r="P46" s="47"/>
      <c r="Q46" s="47"/>
      <c r="R46" s="47">
        <f>COUNTIF(Q7:Q37,"2")</f>
        <v>0</v>
      </c>
      <c r="S46" s="18"/>
      <c r="T46" s="103"/>
      <c r="U46" s="158">
        <f>IF(X3="x",(M46*AK45*AA40+(R46*AA40*6.2)),0)</f>
        <v>0</v>
      </c>
      <c r="V46" s="26" t="s">
        <v>227</v>
      </c>
      <c r="W46" s="158">
        <f>IF(Z3="x",(M46*AK45*AA40+(R46*AA40*6.2)),0)</f>
        <v>0</v>
      </c>
      <c r="X46" s="26" t="s">
        <v>227</v>
      </c>
      <c r="Y46" s="47"/>
      <c r="Z46" s="47"/>
      <c r="AA46" s="47"/>
      <c r="AB46" s="4" t="s">
        <v>375</v>
      </c>
      <c r="AC46" s="4"/>
      <c r="AF46" s="4">
        <f>M56*23</f>
        <v>0</v>
      </c>
      <c r="AG46" s="4"/>
      <c r="AH46" s="4"/>
      <c r="AI46" s="4"/>
      <c r="AK46" s="4">
        <v>2.48</v>
      </c>
      <c r="AL46" s="4" t="s">
        <v>170</v>
      </c>
      <c r="BB46" s="2"/>
    </row>
    <row r="47" spans="2:54" x14ac:dyDescent="0.2">
      <c r="C47" s="35" t="s">
        <v>306</v>
      </c>
      <c r="F47" s="4"/>
      <c r="G47" s="109" t="s">
        <v>307</v>
      </c>
      <c r="H47" s="109" t="s">
        <v>308</v>
      </c>
      <c r="J47" s="18" t="s">
        <v>249</v>
      </c>
      <c r="K47" s="21"/>
      <c r="L47" s="47"/>
      <c r="M47" s="100">
        <f>COUNTIF(R7:R37,"1")</f>
        <v>0</v>
      </c>
      <c r="N47" s="18" t="s">
        <v>250</v>
      </c>
      <c r="O47" s="21"/>
      <c r="P47" s="47"/>
      <c r="Q47" s="47"/>
      <c r="R47" s="47">
        <f>COUNTIF(R7:R37,"2")</f>
        <v>0</v>
      </c>
      <c r="S47" s="18"/>
      <c r="T47" s="103"/>
      <c r="U47" s="158">
        <f>IF(X3="x",(M47*AK46*AA40+(R47*AA40*6.2)),0)</f>
        <v>0</v>
      </c>
      <c r="V47" s="26" t="s">
        <v>227</v>
      </c>
      <c r="W47" s="158">
        <f>IF(Z3="x",(M47*AK46*AA40+(R47*AA40*6.2)),0)</f>
        <v>0</v>
      </c>
      <c r="X47" s="26" t="s">
        <v>227</v>
      </c>
      <c r="Y47" s="47"/>
      <c r="Z47" s="47"/>
      <c r="AA47" s="47"/>
      <c r="AB47" s="7">
        <f>IF((M37-N37-U4)&gt;0,(M37-N37-U4-G55),)</f>
        <v>0</v>
      </c>
      <c r="AC47" s="7">
        <f>IF((MINUTE(AB47)&gt;=30),(0.041666667),)</f>
        <v>0</v>
      </c>
      <c r="AD47" s="7">
        <f>AB47+AC47</f>
        <v>0</v>
      </c>
      <c r="AE47" s="7">
        <f>AD47</f>
        <v>0</v>
      </c>
      <c r="AG47" s="4"/>
      <c r="AH47" s="4"/>
      <c r="AI47" s="4"/>
      <c r="AK47" s="4">
        <v>1.74</v>
      </c>
      <c r="AL47" s="4" t="s">
        <v>251</v>
      </c>
      <c r="BB47" s="2"/>
    </row>
    <row r="48" spans="2:54" x14ac:dyDescent="0.2">
      <c r="C48" s="35" t="s">
        <v>252</v>
      </c>
      <c r="G48" s="127" t="s">
        <v>117</v>
      </c>
      <c r="H48" s="127"/>
      <c r="J48" s="18" t="s">
        <v>253</v>
      </c>
      <c r="K48" s="21"/>
      <c r="L48" s="21"/>
      <c r="M48" s="100">
        <f>COUNTIF(S7:S37,"1")</f>
        <v>0</v>
      </c>
      <c r="N48" s="18" t="s">
        <v>254</v>
      </c>
      <c r="O48" s="4"/>
      <c r="P48" s="4"/>
      <c r="Q48" s="21"/>
      <c r="R48" s="47">
        <f>COUNTIF(S7:S37,"2")</f>
        <v>0</v>
      </c>
      <c r="S48" s="18"/>
      <c r="T48" s="153"/>
      <c r="U48" s="158">
        <f>IF(X3="x",(M48*AK47*AA40+(R48*AA40*3.48)),0)</f>
        <v>0</v>
      </c>
      <c r="V48" s="26" t="s">
        <v>227</v>
      </c>
      <c r="W48" s="158">
        <f>IF(Z3="x",(M48*AK47*AA40+(R48*AA40*3.48)),0)</f>
        <v>0</v>
      </c>
      <c r="X48" s="26" t="s">
        <v>227</v>
      </c>
      <c r="AB48" s="7"/>
      <c r="AC48" s="7"/>
      <c r="AD48" s="7"/>
      <c r="AE48" s="7">
        <f>HOUR(AE47)</f>
        <v>0</v>
      </c>
      <c r="AG48" s="4"/>
      <c r="AH48" s="4"/>
      <c r="AI48" s="4"/>
      <c r="AK48" s="4">
        <f>VLOOKUP(AS48,Données!$F$74:$H$85,3)</f>
        <v>53.5</v>
      </c>
      <c r="AL48" s="4" t="s">
        <v>255</v>
      </c>
      <c r="AP48" s="385">
        <f>T41*Z40</f>
        <v>58821.599200000004</v>
      </c>
      <c r="AQ48" s="2">
        <f>AP48*0.075</f>
        <v>4411.6199400000005</v>
      </c>
      <c r="AR48" s="2">
        <f>AP48*0.0355</f>
        <v>2088.1667716000002</v>
      </c>
      <c r="AS48" s="225">
        <f>AP48-AQ48-AR48</f>
        <v>52321.812488400006</v>
      </c>
      <c r="BB48" s="2"/>
    </row>
    <row r="49" spans="3:54" x14ac:dyDescent="0.2">
      <c r="J49" s="18" t="s">
        <v>256</v>
      </c>
      <c r="K49" s="21"/>
      <c r="L49" s="21"/>
      <c r="M49" s="100">
        <f>COUNTIF(T7:T37,"1")</f>
        <v>0</v>
      </c>
      <c r="N49" s="18" t="s">
        <v>257</v>
      </c>
      <c r="O49" s="4"/>
      <c r="P49" s="4"/>
      <c r="Q49" s="21"/>
      <c r="R49" s="47">
        <f>COUNTIF(T7:T37,"2")</f>
        <v>0</v>
      </c>
      <c r="S49" s="18"/>
      <c r="T49" s="153"/>
      <c r="U49" s="158">
        <f>IF(X3="x",(M49*AK44*AA40+(R49*AA40*2.48)),0)</f>
        <v>0</v>
      </c>
      <c r="V49" s="26" t="s">
        <v>227</v>
      </c>
      <c r="W49" s="158">
        <f>IF(Z3="x",(M49*AK44*AA40+(R49*AA40*2.48)),0)</f>
        <v>0</v>
      </c>
      <c r="X49" s="26" t="s">
        <v>227</v>
      </c>
      <c r="AB49" s="7">
        <f>HOUR(AD47)*0.041666667</f>
        <v>0</v>
      </c>
      <c r="AD49" s="7"/>
      <c r="AG49" s="4"/>
      <c r="AH49" s="4"/>
      <c r="AI49" s="4"/>
      <c r="AK49" s="4">
        <f>100-AK48</f>
        <v>46.5</v>
      </c>
      <c r="AL49" s="4" t="s">
        <v>258</v>
      </c>
      <c r="BB49" s="2"/>
    </row>
    <row r="50" spans="3:54" x14ac:dyDescent="0.2">
      <c r="C50" s="4" t="s">
        <v>259</v>
      </c>
      <c r="F50" s="4"/>
      <c r="G50" s="4"/>
      <c r="J50" s="18" t="s">
        <v>260</v>
      </c>
      <c r="K50" s="4"/>
      <c r="L50" s="4"/>
      <c r="M50" s="224">
        <f>IF(AND(O37="+",G48="x",AB47&gt;=0),AB51,0)</f>
        <v>0</v>
      </c>
      <c r="N50" s="35" t="s">
        <v>226</v>
      </c>
      <c r="O50" s="75"/>
      <c r="P50" s="47"/>
      <c r="Q50" s="47"/>
      <c r="R50" s="47"/>
      <c r="S50" s="18"/>
      <c r="T50" s="103"/>
      <c r="U50" s="158">
        <f>IF(X3="x",(M50*AK43/0.041666667),0)</f>
        <v>0</v>
      </c>
      <c r="V50" s="26" t="s">
        <v>227</v>
      </c>
      <c r="W50" s="160">
        <f>IF(Z3="x",(M50*AH44/0.041666667),0)</f>
        <v>0</v>
      </c>
      <c r="X50" s="26" t="s">
        <v>227</v>
      </c>
      <c r="AB50" s="7"/>
      <c r="AD50" s="96"/>
      <c r="AG50" s="4"/>
      <c r="AH50" s="4"/>
      <c r="AI50" s="4"/>
      <c r="BB50" s="2"/>
    </row>
    <row r="51" spans="3:54" x14ac:dyDescent="0.2">
      <c r="C51" s="4" t="s">
        <v>261</v>
      </c>
      <c r="F51" s="4"/>
      <c r="G51" s="215">
        <v>0</v>
      </c>
      <c r="J51" s="18" t="s">
        <v>262</v>
      </c>
      <c r="K51" s="21"/>
      <c r="L51" s="21"/>
      <c r="M51" s="177">
        <f>AM38</f>
        <v>0</v>
      </c>
      <c r="N51" s="188" t="s">
        <v>263</v>
      </c>
      <c r="O51" s="153"/>
      <c r="P51" s="47"/>
      <c r="Q51" s="47"/>
      <c r="R51" s="47"/>
      <c r="S51" s="18"/>
      <c r="T51" s="153"/>
      <c r="U51" s="158">
        <f>IF(X3="x",AM39,0)</f>
        <v>0</v>
      </c>
      <c r="V51" s="26" t="s">
        <v>227</v>
      </c>
      <c r="W51" s="160">
        <f>IF(Z3="x",AM39,0)</f>
        <v>0</v>
      </c>
      <c r="X51" s="26" t="s">
        <v>227</v>
      </c>
      <c r="AB51" s="7">
        <f>IF(MINUTE(AB47)&gt;0,FLOOR(AE47,0.041666667),AE47)</f>
        <v>0</v>
      </c>
      <c r="AC51" s="96"/>
      <c r="AD51" s="96"/>
      <c r="AF51" s="7"/>
      <c r="AG51" s="4" t="s">
        <v>161</v>
      </c>
      <c r="AH51" s="4">
        <f>AH42*0.00325*0.9645*AK49</f>
        <v>2.1061508608525887</v>
      </c>
      <c r="AI51" s="4"/>
      <c r="AK51" s="97">
        <f>AK43/100*20</f>
        <v>2.8520049815357833</v>
      </c>
      <c r="AL51" s="4" t="s">
        <v>264</v>
      </c>
      <c r="BB51" s="2"/>
    </row>
    <row r="52" spans="3:54" x14ac:dyDescent="0.2">
      <c r="C52" s="245" t="s">
        <v>265</v>
      </c>
      <c r="J52" s="18" t="s">
        <v>266</v>
      </c>
      <c r="K52" s="47"/>
      <c r="L52" s="21"/>
      <c r="M52" s="100">
        <f>SUM(AA7:AA37)</f>
        <v>0</v>
      </c>
      <c r="N52" s="188" t="s">
        <v>267</v>
      </c>
      <c r="O52" s="21"/>
      <c r="P52" s="21"/>
      <c r="Q52" s="21"/>
      <c r="R52" s="21"/>
      <c r="S52" s="18"/>
      <c r="T52" s="187"/>
      <c r="U52" s="158">
        <f>IF(X3="x",(M52*Données!$T$13),0)</f>
        <v>0</v>
      </c>
      <c r="V52" s="26" t="s">
        <v>227</v>
      </c>
      <c r="W52" s="160">
        <f>IF(Z3="x",M52*0.2,0)</f>
        <v>0</v>
      </c>
      <c r="X52" s="26" t="s">
        <v>227</v>
      </c>
      <c r="AK52" s="97">
        <f>AK43/100*35</f>
        <v>4.9910087176876212</v>
      </c>
      <c r="AL52" s="4" t="s">
        <v>268</v>
      </c>
      <c r="BB52" s="2"/>
    </row>
    <row r="53" spans="3:54" x14ac:dyDescent="0.2">
      <c r="J53" s="18" t="s">
        <v>269</v>
      </c>
      <c r="K53" s="21"/>
      <c r="L53" s="21"/>
      <c r="M53" s="224">
        <f>AH54</f>
        <v>0</v>
      </c>
      <c r="N53" s="35" t="s">
        <v>226</v>
      </c>
      <c r="O53" s="21"/>
      <c r="P53" s="21"/>
      <c r="Q53" s="21"/>
      <c r="R53" s="21"/>
      <c r="S53" s="18"/>
      <c r="T53" s="153"/>
      <c r="U53" s="158">
        <f>IF(X3="x",(M53*AK54/0.041666667),0)</f>
        <v>0</v>
      </c>
      <c r="V53" s="26" t="s">
        <v>227</v>
      </c>
      <c r="W53" s="158">
        <f>IF(Z3="x",(M53*AK54/0.041666667),0)</f>
        <v>0</v>
      </c>
      <c r="X53" s="26" t="s">
        <v>227</v>
      </c>
      <c r="AK53" s="225"/>
      <c r="BB53" s="2"/>
    </row>
    <row r="54" spans="3:54" x14ac:dyDescent="0.2">
      <c r="C54" s="35" t="s">
        <v>270</v>
      </c>
      <c r="J54" s="18" t="s">
        <v>271</v>
      </c>
      <c r="K54" s="21"/>
      <c r="L54" s="21"/>
      <c r="M54" s="224">
        <f>AH55</f>
        <v>0</v>
      </c>
      <c r="N54" s="188" t="s">
        <v>226</v>
      </c>
      <c r="O54" s="21"/>
      <c r="P54" s="21"/>
      <c r="Q54" s="21"/>
      <c r="R54" s="21"/>
      <c r="S54" s="18"/>
      <c r="T54" s="153"/>
      <c r="U54" s="158">
        <f>IF(X3="x",(M54*AK55/0.041666667),0)</f>
        <v>0</v>
      </c>
      <c r="V54" s="26" t="s">
        <v>227</v>
      </c>
      <c r="W54" s="158">
        <f>IF(Z3="x",(M54*AK55/0.041666667),0)</f>
        <v>0</v>
      </c>
      <c r="X54" s="26" t="s">
        <v>227</v>
      </c>
      <c r="AE54" s="285">
        <f>SUM(Y7:Y37)</f>
        <v>0</v>
      </c>
      <c r="AF54" s="196">
        <f>IF(MINUTE(AE54)&gt;=30,AE54+0.041666667,AE54)</f>
        <v>0</v>
      </c>
      <c r="AG54" s="196"/>
      <c r="AH54" s="13">
        <f>IF(MINUTE(AF54)&gt;0,FLOOR(AF54,0.041666667),AF54)</f>
        <v>0</v>
      </c>
      <c r="AI54" s="13"/>
      <c r="AJ54" s="196"/>
      <c r="AK54" s="212">
        <f>AK43/24</f>
        <v>0.5941677044866216</v>
      </c>
      <c r="AL54" s="13" t="s">
        <v>272</v>
      </c>
      <c r="AM54" s="13"/>
      <c r="AN54" s="13"/>
      <c r="AO54" s="13"/>
      <c r="AP54" s="121"/>
      <c r="BB54" s="2"/>
    </row>
    <row r="55" spans="3:54" x14ac:dyDescent="0.2">
      <c r="C55" s="35" t="s">
        <v>261</v>
      </c>
      <c r="G55" s="198">
        <v>0</v>
      </c>
      <c r="J55" s="19" t="s">
        <v>273</v>
      </c>
      <c r="K55" s="20"/>
      <c r="L55" s="20"/>
      <c r="M55" s="318">
        <f>AU38</f>
        <v>0</v>
      </c>
      <c r="N55" s="20" t="s">
        <v>263</v>
      </c>
      <c r="O55" s="20"/>
      <c r="P55" s="20"/>
      <c r="Q55" s="20"/>
      <c r="R55" s="20"/>
      <c r="S55" s="19"/>
      <c r="T55" s="20"/>
      <c r="U55" s="159">
        <f>IF(X3="x",(M55*(2.81*AA40))/100*(100-Z44),0)</f>
        <v>0</v>
      </c>
      <c r="V55" s="27" t="s">
        <v>227</v>
      </c>
      <c r="W55" s="159">
        <f>IF(Z3="x",(M55*(2.81*AA40))/100*(100-Z44),0)</f>
        <v>0</v>
      </c>
      <c r="X55" s="27" t="s">
        <v>227</v>
      </c>
      <c r="AE55" s="286">
        <f>SUM(Z7:Z37)</f>
        <v>0</v>
      </c>
      <c r="AF55" s="197">
        <f>IF(MINUTE(AE55)&gt;=30,AE55+0.041666667,AE55)</f>
        <v>0</v>
      </c>
      <c r="AG55" s="197"/>
      <c r="AH55" s="20">
        <f>IF(MINUTE(AF55)&gt;0,FLOOR(AF55,0.041666667),AF55)</f>
        <v>0</v>
      </c>
      <c r="AI55" s="20"/>
      <c r="AJ55" s="197"/>
      <c r="AK55" s="213">
        <f>AK43/15</f>
        <v>0.95066832717859451</v>
      </c>
      <c r="AL55" s="20" t="s">
        <v>274</v>
      </c>
      <c r="AM55" s="20"/>
      <c r="AN55" s="20"/>
      <c r="AO55" s="20"/>
      <c r="AP55" s="119"/>
      <c r="BB55" s="2"/>
    </row>
    <row r="56" spans="3:54" x14ac:dyDescent="0.2">
      <c r="C56" s="245" t="s">
        <v>265</v>
      </c>
      <c r="E56" s="21"/>
      <c r="F56" s="47"/>
      <c r="G56" s="21"/>
      <c r="L56" s="104" t="s">
        <v>275</v>
      </c>
      <c r="M56" s="104"/>
      <c r="N56" s="19"/>
      <c r="O56" s="105"/>
      <c r="P56" s="99"/>
      <c r="Q56" s="99"/>
      <c r="R56" s="99"/>
      <c r="S56" s="19"/>
      <c r="T56" s="106"/>
      <c r="U56" s="159">
        <f>IF(X3="x",(SUM(U42:U55)),0)</f>
        <v>0</v>
      </c>
      <c r="V56" s="27" t="s">
        <v>227</v>
      </c>
      <c r="W56" s="159">
        <f>IF(Z3="x",(SUM(W42:W55)),0)</f>
        <v>0</v>
      </c>
      <c r="X56" s="27" t="s">
        <v>227</v>
      </c>
      <c r="BB56" s="2"/>
    </row>
    <row r="59" spans="3:54" x14ac:dyDescent="0.2">
      <c r="E59" s="1"/>
      <c r="F59" s="32"/>
      <c r="G59" s="58"/>
      <c r="H59" s="32"/>
      <c r="I59" s="32"/>
      <c r="J59" s="32"/>
      <c r="K59" s="32"/>
      <c r="L59" s="32"/>
      <c r="M59" s="135"/>
      <c r="N59" s="191"/>
      <c r="O59" s="32"/>
      <c r="P59" s="30"/>
      <c r="Q59" s="30"/>
      <c r="R59" s="30"/>
      <c r="S59" s="32"/>
      <c r="T59" s="1"/>
      <c r="U59" s="1"/>
      <c r="V59" s="32"/>
      <c r="W59" s="32"/>
      <c r="X59" s="192"/>
      <c r="Y59" s="30"/>
    </row>
    <row r="60" spans="3:54" x14ac:dyDescent="0.2">
      <c r="E60" s="1"/>
      <c r="F60" s="32"/>
      <c r="G60" s="58"/>
      <c r="H60" s="32"/>
      <c r="I60" s="32"/>
      <c r="J60" s="32"/>
      <c r="K60" s="32"/>
      <c r="L60" s="32"/>
      <c r="M60" s="135"/>
      <c r="N60" s="191"/>
      <c r="O60" s="32"/>
      <c r="P60" s="30"/>
      <c r="Q60" s="30"/>
      <c r="R60" s="30"/>
      <c r="S60" s="32"/>
      <c r="T60" s="1"/>
      <c r="U60" s="1"/>
      <c r="V60" s="32"/>
      <c r="W60" s="32"/>
      <c r="X60" s="193"/>
      <c r="Y60" s="32"/>
    </row>
    <row r="61" spans="3:54" x14ac:dyDescent="0.2">
      <c r="E61" s="1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194"/>
      <c r="V61" s="194"/>
      <c r="W61" s="194"/>
      <c r="X61" s="194"/>
      <c r="Y61" s="194"/>
    </row>
  </sheetData>
  <sheetProtection algorithmName="SHA-512" hashValue="eft3lRyeHz0c09O7L1virOGg60r/pfG4qIVevkoULanJs70jlucVH0kAQl73QezqLBAgbsW6R2GBvX6enSygrA==" saltValue="0KMVApgIHXfUylQe4PcQZg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2" orientation="landscape" horizontalDpi="300" verticalDpi="300" r:id="rId1"/>
  <headerFooter alignWithMargins="0"/>
  <ignoredErrors>
    <ignoredError sqref="Q7:T37" unlocked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>
    <pageSetUpPr fitToPage="1"/>
  </sheetPr>
  <dimension ref="A1:BB59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9" sqref="F9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710937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6" width="5.7109375" style="5" customWidth="1"/>
    <col min="27" max="27" width="5.85546875" style="5" bestFit="1" customWidth="1"/>
    <col min="28" max="28" width="14" style="2" hidden="1" customWidth="1"/>
    <col min="29" max="29" width="4.8554687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3" width="10.42578125" style="2" hidden="1" customWidth="1"/>
    <col min="44" max="44" width="12" style="2" hidden="1" customWidth="1"/>
    <col min="45" max="46" width="10.42578125" style="2" hidden="1" customWidth="1"/>
    <col min="47" max="47" width="4.28515625" style="2" hidden="1" customWidth="1"/>
    <col min="48" max="48" width="7.7109375" style="39" hidden="1" customWidth="1"/>
    <col min="49" max="49" width="6.42578125" style="39" hidden="1" customWidth="1"/>
    <col min="50" max="50" width="5.7109375" style="2" hidden="1" customWidth="1"/>
    <col min="51" max="51" width="3" style="2" hidden="1" customWidth="1"/>
    <col min="52" max="52" width="5.28515625" style="4" hidden="1" customWidth="1"/>
    <col min="53" max="53" width="6.42578125" style="4" hidden="1" customWidth="1"/>
    <col min="54" max="54" width="51.7109375" customWidth="1"/>
    <col min="55" max="55" width="0" hidden="1" customWidth="1"/>
  </cols>
  <sheetData>
    <row r="1" spans="2:54" x14ac:dyDescent="0.2">
      <c r="C1" s="307"/>
      <c r="H1" s="248"/>
      <c r="X1" s="178"/>
      <c r="Y1" s="179"/>
      <c r="Z1" s="179" t="s">
        <v>110</v>
      </c>
      <c r="AA1" s="180"/>
      <c r="AD1" s="96">
        <v>0.29166666666666669</v>
      </c>
      <c r="AQ1" s="39" t="s">
        <v>111</v>
      </c>
      <c r="AR1" s="39" t="s">
        <v>112</v>
      </c>
      <c r="AS1" s="39" t="s">
        <v>113</v>
      </c>
      <c r="AT1" s="39" t="s">
        <v>114</v>
      </c>
      <c r="AU1" s="39"/>
      <c r="BB1" s="2"/>
    </row>
    <row r="2" spans="2:54" x14ac:dyDescent="0.2">
      <c r="C2" s="246"/>
      <c r="M2" s="136"/>
      <c r="N2" s="137"/>
      <c r="O2" s="137"/>
      <c r="P2" s="137"/>
      <c r="Q2" s="137"/>
      <c r="R2" s="137"/>
      <c r="S2" s="137"/>
      <c r="T2" s="137"/>
      <c r="U2" s="138"/>
      <c r="V2" s="139"/>
      <c r="X2" s="181" t="s">
        <v>115</v>
      </c>
      <c r="Y2" s="182"/>
      <c r="Z2" s="182" t="s">
        <v>116</v>
      </c>
      <c r="AA2" s="183"/>
      <c r="AC2" s="112"/>
      <c r="AD2" s="96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0"/>
      <c r="M3" s="140"/>
      <c r="N3" s="141"/>
      <c r="O3" s="141"/>
      <c r="P3" s="141"/>
      <c r="Q3" s="141"/>
      <c r="R3" s="141"/>
      <c r="S3" s="141"/>
      <c r="T3" s="141"/>
      <c r="U3" s="142"/>
      <c r="V3" s="143"/>
      <c r="X3" s="253" t="s">
        <v>117</v>
      </c>
      <c r="Y3" s="184"/>
      <c r="Z3" s="253"/>
      <c r="AA3" s="185"/>
      <c r="AD3" s="96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B4" s="277" t="s">
        <v>694</v>
      </c>
      <c r="C4" s="465" t="str">
        <f>Données!F6</f>
        <v>Memento 2022</v>
      </c>
      <c r="G4" s="4" t="s">
        <v>118</v>
      </c>
      <c r="I4" s="4"/>
      <c r="M4" s="386">
        <f>Oct!$G$55</f>
        <v>0</v>
      </c>
      <c r="P4" s="4" t="s">
        <v>119</v>
      </c>
      <c r="Q4" s="4"/>
      <c r="R4" s="4"/>
      <c r="S4" s="4"/>
      <c r="T4" s="4"/>
      <c r="U4" s="199">
        <f>IF(Oct!$H$48="x",Oct!$U$4,Oct!$G$51)</f>
        <v>0</v>
      </c>
      <c r="AV4" s="84"/>
      <c r="AW4" s="84" t="s">
        <v>120</v>
      </c>
      <c r="AX4" s="113">
        <v>0</v>
      </c>
      <c r="AY4" s="113"/>
      <c r="BB4" s="2"/>
    </row>
    <row r="5" spans="2:54" x14ac:dyDescent="0.2">
      <c r="B5" s="81"/>
      <c r="C5" s="82"/>
      <c r="D5" s="83" t="s">
        <v>122</v>
      </c>
      <c r="E5" s="83" t="s">
        <v>123</v>
      </c>
      <c r="F5" s="90" t="s">
        <v>124</v>
      </c>
      <c r="G5" s="91"/>
      <c r="H5" s="90" t="s">
        <v>124</v>
      </c>
      <c r="I5" s="91"/>
      <c r="J5" s="90" t="s">
        <v>124</v>
      </c>
      <c r="K5" s="91"/>
      <c r="L5" s="90" t="s">
        <v>125</v>
      </c>
      <c r="M5" s="91"/>
      <c r="N5" s="84" t="s">
        <v>126</v>
      </c>
      <c r="O5" s="93" t="s">
        <v>127</v>
      </c>
      <c r="P5" s="92"/>
      <c r="Q5" s="90" t="s">
        <v>128</v>
      </c>
      <c r="R5" s="134"/>
      <c r="S5" s="134"/>
      <c r="T5" s="91"/>
      <c r="U5" s="84" t="s">
        <v>129</v>
      </c>
      <c r="V5" s="84" t="s">
        <v>130</v>
      </c>
      <c r="W5" s="84" t="s">
        <v>129</v>
      </c>
      <c r="X5" s="84" t="s">
        <v>129</v>
      </c>
      <c r="Y5" s="300"/>
      <c r="Z5" s="84" t="s">
        <v>131</v>
      </c>
      <c r="AA5" s="301" t="s">
        <v>132</v>
      </c>
      <c r="AB5" s="8" t="s">
        <v>133</v>
      </c>
      <c r="AC5" s="8" t="s">
        <v>134</v>
      </c>
      <c r="AD5" s="8" t="s">
        <v>135</v>
      </c>
      <c r="AE5" s="8" t="s">
        <v>136</v>
      </c>
      <c r="AF5" s="8" t="s">
        <v>137</v>
      </c>
      <c r="AG5" s="8" t="s">
        <v>137</v>
      </c>
      <c r="AH5" s="8" t="s">
        <v>138</v>
      </c>
      <c r="AI5" s="8" t="s">
        <v>139</v>
      </c>
      <c r="AO5" s="4"/>
      <c r="AT5" s="4" t="s">
        <v>140</v>
      </c>
      <c r="AU5" s="4"/>
      <c r="AV5" s="231" t="s">
        <v>141</v>
      </c>
      <c r="AW5" s="231" t="s">
        <v>142</v>
      </c>
      <c r="AX5" s="84" t="s">
        <v>126</v>
      </c>
      <c r="AY5" s="250"/>
      <c r="BB5" s="4"/>
    </row>
    <row r="6" spans="2:54" x14ac:dyDescent="0.2">
      <c r="B6" s="85" t="s">
        <v>143</v>
      </c>
      <c r="C6" s="86" t="s">
        <v>144</v>
      </c>
      <c r="D6" s="87" t="s">
        <v>44</v>
      </c>
      <c r="E6" s="87" t="s">
        <v>145</v>
      </c>
      <c r="F6" s="86" t="s">
        <v>44</v>
      </c>
      <c r="G6" s="86" t="s">
        <v>45</v>
      </c>
      <c r="H6" s="86" t="s">
        <v>44</v>
      </c>
      <c r="I6" s="86" t="s">
        <v>45</v>
      </c>
      <c r="J6" s="86" t="s">
        <v>44</v>
      </c>
      <c r="K6" s="86" t="s">
        <v>45</v>
      </c>
      <c r="L6" s="86" t="s">
        <v>146</v>
      </c>
      <c r="M6" s="86" t="s">
        <v>147</v>
      </c>
      <c r="N6" s="86" t="s">
        <v>148</v>
      </c>
      <c r="O6" s="94" t="s">
        <v>149</v>
      </c>
      <c r="P6" s="95"/>
      <c r="Q6" s="357" t="s">
        <v>150</v>
      </c>
      <c r="R6" s="357" t="s">
        <v>151</v>
      </c>
      <c r="S6" s="357" t="s">
        <v>152</v>
      </c>
      <c r="T6" s="357" t="s">
        <v>153</v>
      </c>
      <c r="U6" s="176" t="s">
        <v>154</v>
      </c>
      <c r="V6" s="86" t="s">
        <v>155</v>
      </c>
      <c r="W6" s="86" t="s">
        <v>156</v>
      </c>
      <c r="X6" s="195" t="s">
        <v>157</v>
      </c>
      <c r="Y6" s="88" t="s">
        <v>131</v>
      </c>
      <c r="Z6" s="86" t="s">
        <v>158</v>
      </c>
      <c r="AA6" s="302" t="s">
        <v>159</v>
      </c>
      <c r="AB6" s="9" t="s">
        <v>160</v>
      </c>
      <c r="AC6" s="9" t="s">
        <v>160</v>
      </c>
      <c r="AD6" s="9" t="s">
        <v>137</v>
      </c>
      <c r="AE6" s="9" t="s">
        <v>161</v>
      </c>
      <c r="AF6" s="9" t="s">
        <v>156</v>
      </c>
      <c r="AG6" s="278" t="s">
        <v>157</v>
      </c>
      <c r="AH6" s="8" t="s">
        <v>137</v>
      </c>
      <c r="AI6" s="8" t="s">
        <v>162</v>
      </c>
      <c r="AJ6" s="56" t="s">
        <v>163</v>
      </c>
      <c r="AK6" s="11" t="s">
        <v>164</v>
      </c>
      <c r="AL6" s="101" t="s">
        <v>165</v>
      </c>
      <c r="AM6" s="10" t="s">
        <v>166</v>
      </c>
      <c r="AN6" s="10" t="s">
        <v>167</v>
      </c>
      <c r="AO6" s="10"/>
      <c r="AP6" s="11" t="s">
        <v>168</v>
      </c>
      <c r="AQ6" s="11" t="s">
        <v>169</v>
      </c>
      <c r="AR6" s="11" t="s">
        <v>170</v>
      </c>
      <c r="AS6" s="11" t="s">
        <v>171</v>
      </c>
      <c r="AT6" s="10" t="s">
        <v>166</v>
      </c>
      <c r="AU6" s="10" t="s">
        <v>172</v>
      </c>
      <c r="AV6" s="232" t="s">
        <v>173</v>
      </c>
      <c r="AW6" s="232" t="s">
        <v>174</v>
      </c>
      <c r="AX6" s="86" t="s">
        <v>148</v>
      </c>
      <c r="AY6" s="251"/>
      <c r="AZ6" s="11"/>
      <c r="BA6" s="11"/>
      <c r="BB6" s="11" t="s">
        <v>175</v>
      </c>
    </row>
    <row r="7" spans="2:54" x14ac:dyDescent="0.2">
      <c r="B7" s="430" t="s">
        <v>176</v>
      </c>
      <c r="C7" s="495" t="s">
        <v>574</v>
      </c>
      <c r="D7" s="437" t="s">
        <v>84</v>
      </c>
      <c r="E7" s="437"/>
      <c r="F7" s="438"/>
      <c r="G7" s="496"/>
      <c r="H7" s="438"/>
      <c r="I7" s="438"/>
      <c r="J7" s="438"/>
      <c r="K7" s="438"/>
      <c r="L7" s="439">
        <f t="shared" ref="L7:L36" si="0">(G7-F7)+(I7-H7)+(K7-J7)+AJ7+AO7</f>
        <v>0.31666666666666665</v>
      </c>
      <c r="M7" s="434">
        <f>IF(Oct!H48="x",(L7+Oct!M37)+M4,L7+M4)</f>
        <v>0.31666666666666665</v>
      </c>
      <c r="N7" s="439">
        <f>IF(Oct!$H$48="x",AV7+Oct!$N$37,AV7)</f>
        <v>0.31666666666666665</v>
      </c>
      <c r="O7" s="440" t="str">
        <f>IF((M7-N7-U$4)&lt;0,"-","+")</f>
        <v>+</v>
      </c>
      <c r="P7" s="441">
        <f>ABS(M7-N7-U$4)</f>
        <v>0</v>
      </c>
      <c r="Q7" s="436">
        <f>AQ7</f>
        <v>0</v>
      </c>
      <c r="R7" s="436">
        <f>AR7</f>
        <v>0</v>
      </c>
      <c r="S7" s="436">
        <f>AS7</f>
        <v>0</v>
      </c>
      <c r="T7" s="436">
        <f>AP7</f>
        <v>0</v>
      </c>
      <c r="U7" s="439">
        <f>IF($Z$3="x",AD7,)</f>
        <v>0</v>
      </c>
      <c r="V7" s="439">
        <f>IF(D7="F",L7,0)</f>
        <v>0</v>
      </c>
      <c r="W7" s="434">
        <f>IF($X$3="x",AF7,)</f>
        <v>0</v>
      </c>
      <c r="X7" s="434">
        <f>IF($X$3="x",AG7,)</f>
        <v>0</v>
      </c>
      <c r="Y7" s="432"/>
      <c r="Z7" s="433"/>
      <c r="AA7" s="433"/>
      <c r="AB7" s="442">
        <f>IF((G7&gt;$AD$3)*AND(F7&lt;=$AD$3),G7-$AD$3,)+IF(F7&gt;$AD$3,G7-F7,)+IF((I7&gt;$AD$3)*AND(H7&lt;=$AD$3),I7-$AD$3,)+IF((H7&gt;$AD$3),I7-H7,)+IF((K7&gt;$AD$3)*AND(J7&lt;=$AD$3),K7-$AD$3,)+IF((J7&gt;$AD$3),K7-J7,)</f>
        <v>0</v>
      </c>
      <c r="AC7" s="442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42">
        <f>AB7+AC7</f>
        <v>0</v>
      </c>
      <c r="AE7" s="442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43">
        <f>AB7-AE7</f>
        <v>0</v>
      </c>
      <c r="AG7" s="442">
        <f>AI7+AE7</f>
        <v>0</v>
      </c>
      <c r="AH7" s="443">
        <f>AD7</f>
        <v>0</v>
      </c>
      <c r="AI7" s="442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44">
        <f>IF((D7&lt;&gt;""),VLOOKUP(D7,Données!$E$36:$H$59,4,FALSE),)</f>
        <v>0.31666666666666665</v>
      </c>
      <c r="AK7" s="444">
        <f>IF(V7&gt;0,L7,0)</f>
        <v>0</v>
      </c>
      <c r="AL7" s="445" t="str">
        <f>IF(L7&gt;0,D7,0)</f>
        <v>FC</v>
      </c>
      <c r="AM7" s="446">
        <f>IF((E7="X")*OR(E7="x"),1,0)</f>
        <v>0</v>
      </c>
      <c r="AN7" s="447">
        <f>IF(D7="F",1,)+IF((D7="JP")*AND(((G7-F7)+(I7-H7)+(K7-J7))&gt;0),1,0)</f>
        <v>0</v>
      </c>
      <c r="AO7" s="444">
        <f>IF((D7="JP")*AND(((G7-F7)+(I7-H7)+(K7-J7))=0),"07:36",0)</f>
        <v>0</v>
      </c>
      <c r="AP7" s="448">
        <f>IF((F7&lt;=$AQ$2)*AND(G7&gt;=$AQ$3),1,)+IF((H7&lt;=$AQ$2)*AND(I7&gt;=$AQ$3),1,)+IF((J7&lt;=$AQ$2)*AND(K7&gt;=$AQ$3),1,)</f>
        <v>0</v>
      </c>
      <c r="AQ7" s="448">
        <f>IF((F7&lt;=$AR$2)*AND(G7&gt;=$AR$3),1,)+IF((H7&lt;=$AR$2)*AND(I7&gt;=$AR$3),1,)+IF((J7&lt;=$AR$2)*AND(K7&gt;=$AR$3),1,)</f>
        <v>0</v>
      </c>
      <c r="AR7" s="448">
        <f>IF((F7&lt;=$AS$2)*AND(G7&gt;=$AS$3),1,)+IF((H7&lt;=$AS$2)*AND(I7&gt;=$AS$3),1,)+IF((J7&lt;=$AS$2)*AND(K7&gt;=$AS$3),1,)</f>
        <v>0</v>
      </c>
      <c r="AS7" s="448">
        <f>IF((F7=$AT$2)*AND(G7&gt;=$AT$3),1,)+IF((H7=$AT$2)*AND(I7&gt;=$AT$3),1,)+IF((J7=$AT$2)*AND(K7&gt;=$AT$3),1,)</f>
        <v>0</v>
      </c>
      <c r="AT7" s="446">
        <f>IF((E7="me")*OR(E7="ME"),1,0)</f>
        <v>0</v>
      </c>
      <c r="AU7" s="446">
        <f>IF((E7="M")*OR(E7="m"),1,0)</f>
        <v>0</v>
      </c>
      <c r="AV7" s="434">
        <f>IF(Données!$H$8="x",AW7,AX7)</f>
        <v>0.31666666666666665</v>
      </c>
      <c r="AW7" s="434">
        <f t="shared" ref="AW7:AW36" si="1">AX7/2</f>
        <v>0.15833333333333333</v>
      </c>
      <c r="AX7" s="434">
        <f>IF(D7="L",AX4,(AX4+"07:36"))</f>
        <v>0.31666666666666665</v>
      </c>
      <c r="AY7" s="430" t="str">
        <f>B7</f>
        <v>Ma</v>
      </c>
      <c r="AZ7" s="445">
        <f>IF((S39="HAU1")*AND(S40&lt;&gt;""),VLOOKUP(S40,Échelle!$Q$5:$R$31,2),)</f>
        <v>0</v>
      </c>
      <c r="BA7" s="446" t="s">
        <v>0</v>
      </c>
      <c r="BB7" s="148"/>
    </row>
    <row r="8" spans="2:54" x14ac:dyDescent="0.2">
      <c r="B8" s="430" t="s">
        <v>178</v>
      </c>
      <c r="C8" s="431" t="s">
        <v>575</v>
      </c>
      <c r="D8" s="437" t="s">
        <v>84</v>
      </c>
      <c r="E8" s="432"/>
      <c r="F8" s="433"/>
      <c r="G8" s="433"/>
      <c r="H8" s="433"/>
      <c r="I8" s="433"/>
      <c r="J8" s="438"/>
      <c r="K8" s="438"/>
      <c r="L8" s="439">
        <f t="shared" si="0"/>
        <v>0.31666666666666665</v>
      </c>
      <c r="M8" s="434">
        <f>IF(H1="NIET-GEREGISTREERDE VERSIE","NUL",M7+L8)</f>
        <v>0.6333333333333333</v>
      </c>
      <c r="N8" s="439">
        <f>IF(Oct!$H$48="x",AV8+Oct!$N$37,AV8)</f>
        <v>0.6333333333333333</v>
      </c>
      <c r="O8" s="440" t="str">
        <f t="shared" ref="O8:O36" si="2">IF((M8-N8-U$4)&lt;0,"-","+")</f>
        <v>+</v>
      </c>
      <c r="P8" s="441">
        <f t="shared" ref="P8:P36" si="3">ABS(M8-N8-U$4)</f>
        <v>0</v>
      </c>
      <c r="Q8" s="436">
        <f t="shared" ref="Q8:Q36" si="4">AQ8</f>
        <v>0</v>
      </c>
      <c r="R8" s="436">
        <f t="shared" ref="R8:R36" si="5">AR8</f>
        <v>0</v>
      </c>
      <c r="S8" s="436">
        <f t="shared" ref="S8:S36" si="6">AS8</f>
        <v>0</v>
      </c>
      <c r="T8" s="436">
        <f t="shared" ref="T8:T36" si="7">AP8</f>
        <v>0</v>
      </c>
      <c r="U8" s="439">
        <f t="shared" ref="U8:U36" si="8">IF($Z$3="x",AD8,)</f>
        <v>0</v>
      </c>
      <c r="V8" s="439">
        <f>IF(D8="F",L8,0)</f>
        <v>0</v>
      </c>
      <c r="W8" s="434">
        <f t="shared" ref="W8:W36" si="9">IF($X$3="x",AF8,)</f>
        <v>0</v>
      </c>
      <c r="X8" s="434">
        <f t="shared" ref="X8:X36" si="10">IF($X$3="x",AG8,)</f>
        <v>0</v>
      </c>
      <c r="Y8" s="432"/>
      <c r="Z8" s="433"/>
      <c r="AA8" s="433"/>
      <c r="AB8" s="442">
        <f>IF((G8&gt;$AD$3)*AND(F8&lt;=$AD$3),G8-$AD$3,)+IF(F8&gt;$AD$3,G8-F8,)+IF((I8&gt;$AD$3)*AND(H8&lt;=$AD$3),I8-$AD$3,)+IF((H8&gt;$AD$3),I8-H8,)+IF((K8&gt;$AD$3)*AND(J8&lt;=$AD$3),K8-$AD$3,)+IF((J8&gt;$AD$3),K8-J8,)</f>
        <v>0</v>
      </c>
      <c r="AC8" s="442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42">
        <f>AB8+AC8</f>
        <v>0</v>
      </c>
      <c r="AE8" s="442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43">
        <f>AB8-AE8</f>
        <v>0</v>
      </c>
      <c r="AG8" s="442">
        <f>AI8+AE8</f>
        <v>0</v>
      </c>
      <c r="AH8" s="443">
        <f>AD8</f>
        <v>0</v>
      </c>
      <c r="AI8" s="442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44">
        <f>IF((D8&lt;&gt;""),VLOOKUP(D8,Données!$E$36:$H$59,4,FALSE),)</f>
        <v>0.31666666666666665</v>
      </c>
      <c r="AK8" s="444">
        <f>IF(V8&gt;0,L8,0)</f>
        <v>0</v>
      </c>
      <c r="AL8" s="445" t="str">
        <f>IF(L8&gt;0,D8,0)</f>
        <v>FC</v>
      </c>
      <c r="AM8" s="446">
        <f>IF((E8="X")*OR(E8="x"),1,0)</f>
        <v>0</v>
      </c>
      <c r="AN8" s="447">
        <f>IF(D8="F",1,)+IF((D8="JP")*AND(((G8-F8)+(I8-H8)+(K8-J8))&gt;0),1,0)</f>
        <v>0</v>
      </c>
      <c r="AO8" s="444">
        <f>IF((D8="JP")*AND(((G8-F8)+(I8-H8)+(K8-J8))=0),"07:36",0)</f>
        <v>0</v>
      </c>
      <c r="AP8" s="448">
        <f>IF((F8&lt;=$AQ$2)*AND(G8&gt;=$AQ$3),1,)+IF((H8&lt;=$AQ$2)*AND(I8&gt;=$AQ$3),1,)+IF((J8&lt;=$AQ$2)*AND(K8&gt;=$AQ$3),1,)</f>
        <v>0</v>
      </c>
      <c r="AQ8" s="448">
        <f>IF((F8&lt;=$AR$2)*AND(G8&gt;=$AR$3),1,)+IF((H8&lt;=$AR$2)*AND(I8&gt;=$AR$3),1,)+IF((J8&lt;=$AR$2)*AND(K8&gt;=$AR$3),1,)</f>
        <v>0</v>
      </c>
      <c r="AR8" s="448">
        <f>IF((F8&lt;=$AS$2)*AND(G8&gt;=$AS$3),1,)+IF((H8&lt;=$AS$2)*AND(I8&gt;=$AS$3),1,)+IF((J8&lt;=$AS$2)*AND(K8&gt;=$AS$3),1,)</f>
        <v>0</v>
      </c>
      <c r="AS8" s="448">
        <f>IF((F8=$AT$2)*AND(G8&gt;=$AT$3),1,)+IF((H8=$AT$2)*AND(I8&gt;=$AT$3),1,)+IF((J8=$AT$2)*AND(K8&gt;=$AT$3),1,)</f>
        <v>0</v>
      </c>
      <c r="AT8" s="446">
        <f t="shared" ref="AT8:AT36" si="11">IF((E8="me")*OR(E8="ME"),1,0)</f>
        <v>0</v>
      </c>
      <c r="AU8" s="446">
        <f t="shared" ref="AU8:AU36" si="12">IF((E8="M")*OR(E8="m"),1,0)</f>
        <v>0</v>
      </c>
      <c r="AV8" s="434">
        <f>IF(Données!$H$8="x",AW8,AX8)</f>
        <v>0.6333333333333333</v>
      </c>
      <c r="AW8" s="434">
        <f t="shared" si="1"/>
        <v>0.31666666666666665</v>
      </c>
      <c r="AX8" s="434">
        <f>IF(D8="L",AX7,(AX7+"07:36"))</f>
        <v>0.6333333333333333</v>
      </c>
      <c r="AY8" s="430" t="str">
        <f t="shared" ref="AY8:AY36" si="13">B8</f>
        <v>Me</v>
      </c>
      <c r="AZ8" s="445">
        <f>IF((S39="HAU2")*AND(S40&lt;&gt;""),VLOOKUP(S40,Échelle!$T$5:$U$31,2),)</f>
        <v>0</v>
      </c>
      <c r="BA8" s="446" t="s">
        <v>1</v>
      </c>
      <c r="BB8" s="148"/>
    </row>
    <row r="9" spans="2:54" x14ac:dyDescent="0.2">
      <c r="B9" s="467" t="s">
        <v>180</v>
      </c>
      <c r="C9" s="468" t="s">
        <v>576</v>
      </c>
      <c r="D9" s="469"/>
      <c r="E9" s="469"/>
      <c r="F9" s="470"/>
      <c r="G9" s="470"/>
      <c r="H9" s="470"/>
      <c r="I9" s="470"/>
      <c r="J9" s="487"/>
      <c r="K9" s="487"/>
      <c r="L9" s="488">
        <f t="shared" si="0"/>
        <v>0</v>
      </c>
      <c r="M9" s="471">
        <f t="shared" ref="M9:M36" si="14">M8+L9</f>
        <v>0.6333333333333333</v>
      </c>
      <c r="N9" s="488">
        <f>IF(Oct!$H$48="x",AV9+Oct!$N$37,AV9)</f>
        <v>0.95</v>
      </c>
      <c r="O9" s="483" t="str">
        <f t="shared" si="2"/>
        <v>-</v>
      </c>
      <c r="P9" s="489">
        <f t="shared" si="3"/>
        <v>0.31666666666666665</v>
      </c>
      <c r="Q9" s="474">
        <f t="shared" si="4"/>
        <v>0</v>
      </c>
      <c r="R9" s="474">
        <f t="shared" si="5"/>
        <v>0</v>
      </c>
      <c r="S9" s="474">
        <f t="shared" si="6"/>
        <v>0</v>
      </c>
      <c r="T9" s="474">
        <f t="shared" si="7"/>
        <v>0</v>
      </c>
      <c r="U9" s="488">
        <f t="shared" si="8"/>
        <v>0</v>
      </c>
      <c r="V9" s="488">
        <f t="shared" ref="V9:V10" si="15">IF(D9="F",L9,0)</f>
        <v>0</v>
      </c>
      <c r="W9" s="471">
        <f t="shared" si="9"/>
        <v>0</v>
      </c>
      <c r="X9" s="471">
        <f t="shared" si="10"/>
        <v>0</v>
      </c>
      <c r="Y9" s="469"/>
      <c r="Z9" s="470"/>
      <c r="AA9" s="470"/>
      <c r="AB9" s="475">
        <f t="shared" ref="AB9:AB36" si="16">IF((G9&gt;$AD$3)*AND(F9&lt;=$AD$3),G9-$AD$3,)+IF(F9&gt;$AD$3,G9-F9,)+IF((I9&gt;$AD$3)*AND(H9&lt;=$AD$3),I9-$AD$3,)+IF((H9&gt;$AD$3),I9-H9,)+IF((K9&gt;$AD$3)*AND(J9&lt;=$AD$3),K9-$AD$3,)+IF((J9&gt;$AD$3),K9-J9,)</f>
        <v>0</v>
      </c>
      <c r="AC9" s="475">
        <f t="shared" ref="AC9:AC36" si="17">IF((G9&gt;=$AD$1)*AND(F9&lt;$AD$1),($AD$1)-F9,)+IF((G9&lt;$AD$1),G9-F9,)+IF((I9&gt;=$AD$1)*AND(H9&lt;$AD$1),($AD$1)-H9,)+IF((I9&lt;$AD$1),I9-H9,)+IF((K9&gt;=$AD$1)*AND(J9&lt;$AD$1),($AD$1)-J9,)+IF((K9&lt;$AD$1),K9-J9,)</f>
        <v>0</v>
      </c>
      <c r="AD9" s="475">
        <f t="shared" ref="AD9:AD36" si="18">AB9+AC9</f>
        <v>0</v>
      </c>
      <c r="AE9" s="475">
        <f t="shared" ref="AE9:AE36" si="19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76">
        <f t="shared" ref="AF9:AF36" si="20">AB9-AE9</f>
        <v>0</v>
      </c>
      <c r="AG9" s="475">
        <f t="shared" ref="AG9:AG36" si="21">AI9+AE9</f>
        <v>0</v>
      </c>
      <c r="AH9" s="476">
        <f t="shared" ref="AH9:AH36" si="22">AD9</f>
        <v>0</v>
      </c>
      <c r="AI9" s="475">
        <f t="shared" ref="AI9:AI36" si="23">IF((G9&gt;=$AD$2)*AND(F9&lt;$AD$2),($AD$2)-F9,)+IF((G9&lt;$AD$2),G9-F9,)+IF((I9&gt;=$AD$2)*AND(H9&lt;$AD$2),($AD$2)-H9,)+IF((I9&lt;$AD$2),I9-H9,)+IF((K9&gt;=$AD$2)*AND(J9&lt;$AD$2),($AD$2)-J9,)+IF((K9&lt;$AD$2),K9-J9,)</f>
        <v>0</v>
      </c>
      <c r="AJ9" s="477">
        <f>IF((D9&lt;&gt;""),VLOOKUP(D9,Données!$E$36:$H$59,4,FALSE),)</f>
        <v>0</v>
      </c>
      <c r="AK9" s="477">
        <f>IF(V9&gt;0,L9,0)</f>
        <v>0</v>
      </c>
      <c r="AL9" s="478">
        <f>IF(L9&gt;0,D9,0)</f>
        <v>0</v>
      </c>
      <c r="AM9" s="479">
        <f>IF((E9="X")*OR(E9="x"),1,0)</f>
        <v>0</v>
      </c>
      <c r="AN9" s="480">
        <f t="shared" ref="AN9:AN36" si="24">IF(D9="F",1,)+IF((D9="JP")*AND(((G9-F9)+(I9-H9)+(K9-J9))&gt;0),1,0)</f>
        <v>0</v>
      </c>
      <c r="AO9" s="477">
        <f t="shared" ref="AO9:AO36" si="25">IF((D9="JP")*AND(((G9-F9)+(I9-H9)+(K9-J9))=0),"07:36",0)</f>
        <v>0</v>
      </c>
      <c r="AP9" s="481">
        <f>IF((F9&lt;=$AQ$2)*AND(G9&gt;=$AQ$3),1,)+IF((H9&lt;=$AQ$2)*AND(I9&gt;=$AQ$3),1,)+IF((J9&lt;=$AQ$2)*AND(K9&gt;=$AQ$3),1,)</f>
        <v>0</v>
      </c>
      <c r="AQ9" s="481">
        <f>IF((F9&lt;=$AR$2)*AND(G9&gt;=$AR$3),1,)+IF((H9&lt;=$AR$2)*AND(I9&gt;=$AR$3),1,)+IF((J9&lt;=$AR$2)*AND(K9&gt;=$AR$3),1,)</f>
        <v>0</v>
      </c>
      <c r="AR9" s="481">
        <f>IF((F9&lt;=$AS$2)*AND(G9&gt;=$AS$3),1,)+IF((H9&lt;=$AS$2)*AND(I9&gt;=$AS$3),1,)+IF((J9&lt;=$AS$2)*AND(K9&gt;=$AS$3),1,)</f>
        <v>0</v>
      </c>
      <c r="AS9" s="481">
        <f>IF((F9=$AT$2)*AND(G9&gt;=$AT$3),1,)+IF((H9=$AT$2)*AND(I9&gt;=$AT$3),1,)+IF((J9=$AT$2)*AND(K9&gt;=$AT$3),1,)</f>
        <v>0</v>
      </c>
      <c r="AT9" s="479">
        <f t="shared" si="11"/>
        <v>0</v>
      </c>
      <c r="AU9" s="479">
        <f t="shared" si="12"/>
        <v>0</v>
      </c>
      <c r="AV9" s="471">
        <f>IF(Données!$H$8="x",AW9,AX9)</f>
        <v>0.95</v>
      </c>
      <c r="AW9" s="471">
        <f t="shared" si="1"/>
        <v>0.47499999999999998</v>
      </c>
      <c r="AX9" s="471">
        <f t="shared" ref="AX9:AX10" si="26">IF(D9="L",AX8,(AX8+"07:36"))</f>
        <v>0.95</v>
      </c>
      <c r="AY9" s="467" t="str">
        <f t="shared" si="13"/>
        <v>Je</v>
      </c>
      <c r="AZ9" s="7">
        <f>IF((S39="HAU3")*AND(S40&lt;&gt;""),VLOOKUP(S40,Échelle!$W$5:$X$31,2),)</f>
        <v>0</v>
      </c>
      <c r="BA9" s="4" t="s">
        <v>2</v>
      </c>
      <c r="BB9" s="148"/>
    </row>
    <row r="10" spans="2:54" x14ac:dyDescent="0.2">
      <c r="B10" s="467" t="s">
        <v>182</v>
      </c>
      <c r="C10" s="468" t="s">
        <v>577</v>
      </c>
      <c r="D10" s="469"/>
      <c r="E10" s="469"/>
      <c r="F10" s="470"/>
      <c r="G10" s="470"/>
      <c r="H10" s="470"/>
      <c r="I10" s="470"/>
      <c r="J10" s="487"/>
      <c r="K10" s="487"/>
      <c r="L10" s="488">
        <f t="shared" si="0"/>
        <v>0</v>
      </c>
      <c r="M10" s="471">
        <f>M9+L10</f>
        <v>0.6333333333333333</v>
      </c>
      <c r="N10" s="488">
        <f>IF(Oct!$H$48="x",AV10+Oct!$N$37,AV10)</f>
        <v>1.2666666666666666</v>
      </c>
      <c r="O10" s="483" t="str">
        <f t="shared" si="2"/>
        <v>-</v>
      </c>
      <c r="P10" s="489">
        <f t="shared" si="3"/>
        <v>0.6333333333333333</v>
      </c>
      <c r="Q10" s="474">
        <f t="shared" si="4"/>
        <v>0</v>
      </c>
      <c r="R10" s="474">
        <f t="shared" si="5"/>
        <v>0</v>
      </c>
      <c r="S10" s="474">
        <f t="shared" si="6"/>
        <v>0</v>
      </c>
      <c r="T10" s="474">
        <f t="shared" si="7"/>
        <v>0</v>
      </c>
      <c r="U10" s="488">
        <f t="shared" si="8"/>
        <v>0</v>
      </c>
      <c r="V10" s="488">
        <f t="shared" si="15"/>
        <v>0</v>
      </c>
      <c r="W10" s="471">
        <f t="shared" si="9"/>
        <v>0</v>
      </c>
      <c r="X10" s="471">
        <f t="shared" si="10"/>
        <v>0</v>
      </c>
      <c r="Y10" s="469"/>
      <c r="Z10" s="470"/>
      <c r="AA10" s="470"/>
      <c r="AB10" s="475">
        <f t="shared" si="16"/>
        <v>0</v>
      </c>
      <c r="AC10" s="475">
        <f t="shared" si="17"/>
        <v>0</v>
      </c>
      <c r="AD10" s="475">
        <f t="shared" si="18"/>
        <v>0</v>
      </c>
      <c r="AE10" s="475">
        <f t="shared" si="19"/>
        <v>0</v>
      </c>
      <c r="AF10" s="476">
        <f t="shared" si="20"/>
        <v>0</v>
      </c>
      <c r="AG10" s="475">
        <f t="shared" si="21"/>
        <v>0</v>
      </c>
      <c r="AH10" s="476">
        <f t="shared" si="22"/>
        <v>0</v>
      </c>
      <c r="AI10" s="475">
        <f t="shared" si="23"/>
        <v>0</v>
      </c>
      <c r="AJ10" s="477">
        <f>IF((D10&lt;&gt;""),VLOOKUP(D10,Données!$E$36:$H$59,4,FALSE),)</f>
        <v>0</v>
      </c>
      <c r="AK10" s="477">
        <f t="shared" ref="AK10:AK36" si="27">IF(V10&gt;0,L10,0)</f>
        <v>0</v>
      </c>
      <c r="AL10" s="478">
        <f t="shared" ref="AL10:AL36" si="28">IF(L10&gt;0,D10,0)</f>
        <v>0</v>
      </c>
      <c r="AM10" s="479">
        <f t="shared" ref="AM10:AM36" si="29">IF((E10="X")*OR(E10="x"),1,0)</f>
        <v>0</v>
      </c>
      <c r="AN10" s="480">
        <f t="shared" si="24"/>
        <v>0</v>
      </c>
      <c r="AO10" s="477">
        <f t="shared" si="25"/>
        <v>0</v>
      </c>
      <c r="AP10" s="481">
        <f t="shared" ref="AP10:AP36" si="30">IF((F10&lt;=$AQ$2)*AND(G10&gt;=$AQ$3),1,)+IF((H10&lt;=$AQ$2)*AND(I10&gt;=$AQ$3),1,)+IF((J10&lt;=$AQ$2)*AND(K10&gt;=$AQ$3),1,)</f>
        <v>0</v>
      </c>
      <c r="AQ10" s="481">
        <f t="shared" ref="AQ10:AQ36" si="31">IF((F10&lt;=$AR$2)*AND(G10&gt;=$AR$3),1,)+IF((H10&lt;=$AR$2)*AND(I10&gt;=$AR$3),1,)+IF((J10&lt;=$AR$2)*AND(K10&gt;=$AR$3),1,)</f>
        <v>0</v>
      </c>
      <c r="AR10" s="481">
        <f t="shared" ref="AR10:AR36" si="32">IF((F10&lt;=$AS$2)*AND(G10&gt;=$AS$3),1,)+IF((H10&lt;=$AS$2)*AND(I10&gt;=$AS$3),1,)+IF((J10&lt;=$AS$2)*AND(K10&gt;=$AS$3),1,)</f>
        <v>0</v>
      </c>
      <c r="AS10" s="481">
        <f t="shared" ref="AS10:AS36" si="33">IF((F10=$AT$2)*AND(G10&gt;=$AT$3),1,)+IF((H10=$AT$2)*AND(I10&gt;=$AT$3),1,)+IF((J10=$AT$2)*AND(K10&gt;=$AT$3),1,)</f>
        <v>0</v>
      </c>
      <c r="AT10" s="479">
        <f t="shared" si="11"/>
        <v>0</v>
      </c>
      <c r="AU10" s="479">
        <f t="shared" si="12"/>
        <v>0</v>
      </c>
      <c r="AV10" s="471">
        <f>IF(Données!$H$8="x",AW10,AX10)</f>
        <v>1.2666666666666666</v>
      </c>
      <c r="AW10" s="471">
        <f t="shared" si="1"/>
        <v>0.6333333333333333</v>
      </c>
      <c r="AX10" s="471">
        <f t="shared" si="26"/>
        <v>1.2666666666666666</v>
      </c>
      <c r="AY10" s="467" t="str">
        <f t="shared" si="13"/>
        <v>Ve</v>
      </c>
      <c r="AZ10" s="7">
        <f>IF((S39="B1")*AND(S40&lt;&gt;""),VLOOKUP(S40,Échelle!$Z$5:$AA$31,2),)</f>
        <v>0</v>
      </c>
      <c r="BA10" s="4" t="s">
        <v>3</v>
      </c>
      <c r="BB10" s="148"/>
    </row>
    <row r="11" spans="2:54" x14ac:dyDescent="0.2">
      <c r="B11" s="403" t="s">
        <v>184</v>
      </c>
      <c r="C11" s="412" t="s">
        <v>578</v>
      </c>
      <c r="D11" s="411"/>
      <c r="E11" s="411"/>
      <c r="F11" s="401"/>
      <c r="G11" s="401"/>
      <c r="H11" s="401"/>
      <c r="I11" s="401"/>
      <c r="J11" s="406"/>
      <c r="K11" s="406"/>
      <c r="L11" s="407">
        <f>(G11-F11)+(I11-H11)+(K11-J11)</f>
        <v>0</v>
      </c>
      <c r="M11" s="402">
        <f>M10+L11</f>
        <v>0.6333333333333333</v>
      </c>
      <c r="N11" s="407">
        <f>IF(Oct!$H$48="x",AV11+Oct!$N$37,AV11)</f>
        <v>1.2666666666666666</v>
      </c>
      <c r="O11" s="408" t="str">
        <f t="shared" si="2"/>
        <v>-</v>
      </c>
      <c r="P11" s="409">
        <f t="shared" si="3"/>
        <v>0.6333333333333333</v>
      </c>
      <c r="Q11" s="410">
        <f t="shared" si="4"/>
        <v>0</v>
      </c>
      <c r="R11" s="410">
        <f t="shared" si="5"/>
        <v>0</v>
      </c>
      <c r="S11" s="410">
        <f t="shared" si="6"/>
        <v>0</v>
      </c>
      <c r="T11" s="410">
        <f t="shared" si="7"/>
        <v>0</v>
      </c>
      <c r="U11" s="407">
        <f t="shared" si="8"/>
        <v>0</v>
      </c>
      <c r="V11" s="407">
        <f>L11</f>
        <v>0</v>
      </c>
      <c r="W11" s="402">
        <f t="shared" si="9"/>
        <v>0</v>
      </c>
      <c r="X11" s="402">
        <f t="shared" si="10"/>
        <v>0</v>
      </c>
      <c r="Y11" s="411"/>
      <c r="Z11" s="401"/>
      <c r="AA11" s="401"/>
      <c r="AB11" s="420">
        <f t="shared" si="16"/>
        <v>0</v>
      </c>
      <c r="AC11" s="420">
        <f t="shared" si="17"/>
        <v>0</v>
      </c>
      <c r="AD11" s="420">
        <f t="shared" si="18"/>
        <v>0</v>
      </c>
      <c r="AE11" s="420">
        <f t="shared" si="19"/>
        <v>0</v>
      </c>
      <c r="AF11" s="421">
        <f t="shared" si="20"/>
        <v>0</v>
      </c>
      <c r="AG11" s="420">
        <f t="shared" si="21"/>
        <v>0</v>
      </c>
      <c r="AH11" s="421">
        <f t="shared" si="22"/>
        <v>0</v>
      </c>
      <c r="AI11" s="420">
        <f t="shared" si="23"/>
        <v>0</v>
      </c>
      <c r="AJ11" s="422">
        <f>IF((D11&lt;&gt;""),VLOOKUP(D11,Données!$E$36:$H$59,4,FALSE),)</f>
        <v>0</v>
      </c>
      <c r="AK11" s="422">
        <f t="shared" si="27"/>
        <v>0</v>
      </c>
      <c r="AL11" s="423">
        <f t="shared" si="28"/>
        <v>0</v>
      </c>
      <c r="AM11" s="424">
        <f t="shared" si="29"/>
        <v>0</v>
      </c>
      <c r="AN11" s="425">
        <f t="shared" si="24"/>
        <v>0</v>
      </c>
      <c r="AO11" s="422">
        <f t="shared" si="25"/>
        <v>0</v>
      </c>
      <c r="AP11" s="426">
        <f t="shared" si="30"/>
        <v>0</v>
      </c>
      <c r="AQ11" s="426">
        <f t="shared" si="31"/>
        <v>0</v>
      </c>
      <c r="AR11" s="426">
        <f t="shared" si="32"/>
        <v>0</v>
      </c>
      <c r="AS11" s="426">
        <f t="shared" si="33"/>
        <v>0</v>
      </c>
      <c r="AT11" s="424">
        <f t="shared" si="11"/>
        <v>0</v>
      </c>
      <c r="AU11" s="424">
        <f t="shared" si="12"/>
        <v>0</v>
      </c>
      <c r="AV11" s="402">
        <f>IF(Données!$H$8="x",AW11,AX11)</f>
        <v>1.2666666666666666</v>
      </c>
      <c r="AW11" s="402">
        <f t="shared" si="1"/>
        <v>0.6333333333333333</v>
      </c>
      <c r="AX11" s="402">
        <f>AX10</f>
        <v>1.2666666666666666</v>
      </c>
      <c r="AY11" s="403" t="str">
        <f t="shared" si="13"/>
        <v>Sa</v>
      </c>
      <c r="AZ11" s="423">
        <f>IF((S39="B2")*AND(S40&lt;&gt;""),VLOOKUP(S40,Échelle!$AC$5:$AD$31,2),)</f>
        <v>0</v>
      </c>
      <c r="BA11" s="424" t="s">
        <v>4</v>
      </c>
      <c r="BB11" s="148"/>
    </row>
    <row r="12" spans="2:54" x14ac:dyDescent="0.2">
      <c r="B12" s="403" t="s">
        <v>186</v>
      </c>
      <c r="C12" s="412" t="s">
        <v>579</v>
      </c>
      <c r="D12" s="411"/>
      <c r="E12" s="411"/>
      <c r="F12" s="401"/>
      <c r="G12" s="401"/>
      <c r="H12" s="401"/>
      <c r="I12" s="401"/>
      <c r="J12" s="406"/>
      <c r="K12" s="406"/>
      <c r="L12" s="407">
        <f>(G12-F12)+(I12-H12)+(K12-J12)</f>
        <v>0</v>
      </c>
      <c r="M12" s="402">
        <f t="shared" si="14"/>
        <v>0.6333333333333333</v>
      </c>
      <c r="N12" s="407">
        <f>IF(Oct!$H$48="x",AV12+Oct!$N$37,AV12)</f>
        <v>1.2666666666666666</v>
      </c>
      <c r="O12" s="408" t="str">
        <f t="shared" si="2"/>
        <v>-</v>
      </c>
      <c r="P12" s="409">
        <f t="shared" si="3"/>
        <v>0.6333333333333333</v>
      </c>
      <c r="Q12" s="410">
        <f t="shared" si="4"/>
        <v>0</v>
      </c>
      <c r="R12" s="410">
        <f t="shared" si="5"/>
        <v>0</v>
      </c>
      <c r="S12" s="410">
        <f t="shared" si="6"/>
        <v>0</v>
      </c>
      <c r="T12" s="410">
        <f t="shared" si="7"/>
        <v>0</v>
      </c>
      <c r="U12" s="407">
        <f t="shared" si="8"/>
        <v>0</v>
      </c>
      <c r="V12" s="407">
        <f>L12</f>
        <v>0</v>
      </c>
      <c r="W12" s="402">
        <f t="shared" si="9"/>
        <v>0</v>
      </c>
      <c r="X12" s="402">
        <f t="shared" si="10"/>
        <v>0</v>
      </c>
      <c r="Y12" s="411"/>
      <c r="Z12" s="401"/>
      <c r="AA12" s="401"/>
      <c r="AB12" s="420">
        <f t="shared" si="16"/>
        <v>0</v>
      </c>
      <c r="AC12" s="420">
        <f t="shared" si="17"/>
        <v>0</v>
      </c>
      <c r="AD12" s="420">
        <f t="shared" si="18"/>
        <v>0</v>
      </c>
      <c r="AE12" s="420">
        <f t="shared" si="19"/>
        <v>0</v>
      </c>
      <c r="AF12" s="421">
        <f t="shared" si="20"/>
        <v>0</v>
      </c>
      <c r="AG12" s="420">
        <f t="shared" si="21"/>
        <v>0</v>
      </c>
      <c r="AH12" s="421">
        <f t="shared" si="22"/>
        <v>0</v>
      </c>
      <c r="AI12" s="420">
        <f t="shared" si="23"/>
        <v>0</v>
      </c>
      <c r="AJ12" s="422">
        <f>IF((D12&lt;&gt;""),VLOOKUP(D12,Données!$E$36:$H$59,4,FALSE),)</f>
        <v>0</v>
      </c>
      <c r="AK12" s="422">
        <f t="shared" si="27"/>
        <v>0</v>
      </c>
      <c r="AL12" s="423">
        <f t="shared" si="28"/>
        <v>0</v>
      </c>
      <c r="AM12" s="424">
        <f t="shared" si="29"/>
        <v>0</v>
      </c>
      <c r="AN12" s="425">
        <f t="shared" si="24"/>
        <v>0</v>
      </c>
      <c r="AO12" s="422">
        <f t="shared" si="25"/>
        <v>0</v>
      </c>
      <c r="AP12" s="426">
        <f t="shared" si="30"/>
        <v>0</v>
      </c>
      <c r="AQ12" s="426">
        <f t="shared" si="31"/>
        <v>0</v>
      </c>
      <c r="AR12" s="426">
        <f t="shared" si="32"/>
        <v>0</v>
      </c>
      <c r="AS12" s="426">
        <f t="shared" si="33"/>
        <v>0</v>
      </c>
      <c r="AT12" s="424">
        <f t="shared" si="11"/>
        <v>0</v>
      </c>
      <c r="AU12" s="424">
        <f t="shared" si="12"/>
        <v>0</v>
      </c>
      <c r="AV12" s="402">
        <f>IF(Données!$H$8="x",AW12,AX12)</f>
        <v>1.2666666666666666</v>
      </c>
      <c r="AW12" s="402">
        <f t="shared" si="1"/>
        <v>0.6333333333333333</v>
      </c>
      <c r="AX12" s="402">
        <f>AX11</f>
        <v>1.2666666666666666</v>
      </c>
      <c r="AY12" s="403" t="str">
        <f t="shared" si="13"/>
        <v>Di</v>
      </c>
      <c r="AZ12" s="423">
        <f>IF((S39="B3")*AND(S40&lt;&gt;""),VLOOKUP(S40,Échelle!$AF$5:$AG$31,2),)</f>
        <v>0</v>
      </c>
      <c r="BA12" s="424" t="s">
        <v>5</v>
      </c>
      <c r="BB12" s="148"/>
    </row>
    <row r="13" spans="2:54" x14ac:dyDescent="0.2">
      <c r="B13" s="467" t="s">
        <v>188</v>
      </c>
      <c r="C13" s="468" t="s">
        <v>580</v>
      </c>
      <c r="D13" s="469"/>
      <c r="E13" s="469"/>
      <c r="F13" s="470"/>
      <c r="G13" s="470"/>
      <c r="H13" s="470"/>
      <c r="I13" s="470"/>
      <c r="J13" s="487"/>
      <c r="K13" s="487"/>
      <c r="L13" s="488">
        <f t="shared" si="0"/>
        <v>0</v>
      </c>
      <c r="M13" s="471">
        <f t="shared" si="14"/>
        <v>0.6333333333333333</v>
      </c>
      <c r="N13" s="488">
        <f>IF(Oct!$H$48="x",AV13+Oct!$N$37,AV13)</f>
        <v>1.5833333333333333</v>
      </c>
      <c r="O13" s="483" t="str">
        <f t="shared" si="2"/>
        <v>-</v>
      </c>
      <c r="P13" s="489">
        <f t="shared" si="3"/>
        <v>0.95</v>
      </c>
      <c r="Q13" s="474">
        <f t="shared" si="4"/>
        <v>0</v>
      </c>
      <c r="R13" s="474">
        <f t="shared" si="5"/>
        <v>0</v>
      </c>
      <c r="S13" s="474">
        <f t="shared" si="6"/>
        <v>0</v>
      </c>
      <c r="T13" s="474">
        <f t="shared" si="7"/>
        <v>0</v>
      </c>
      <c r="U13" s="488">
        <f t="shared" si="8"/>
        <v>0</v>
      </c>
      <c r="V13" s="488">
        <f t="shared" ref="V13:V17" si="34">IF(D13="F",L13,0)</f>
        <v>0</v>
      </c>
      <c r="W13" s="471">
        <f t="shared" si="9"/>
        <v>0</v>
      </c>
      <c r="X13" s="471">
        <f t="shared" si="10"/>
        <v>0</v>
      </c>
      <c r="Y13" s="469"/>
      <c r="Z13" s="470"/>
      <c r="AA13" s="470"/>
      <c r="AB13" s="475">
        <f t="shared" si="16"/>
        <v>0</v>
      </c>
      <c r="AC13" s="475">
        <f t="shared" si="17"/>
        <v>0</v>
      </c>
      <c r="AD13" s="475">
        <f t="shared" si="18"/>
        <v>0</v>
      </c>
      <c r="AE13" s="475">
        <f t="shared" si="19"/>
        <v>0</v>
      </c>
      <c r="AF13" s="476">
        <f t="shared" si="20"/>
        <v>0</v>
      </c>
      <c r="AG13" s="475">
        <f t="shared" si="21"/>
        <v>0</v>
      </c>
      <c r="AH13" s="476">
        <f t="shared" si="22"/>
        <v>0</v>
      </c>
      <c r="AI13" s="475">
        <f t="shared" si="23"/>
        <v>0</v>
      </c>
      <c r="AJ13" s="477">
        <f>IF((D13&lt;&gt;""),VLOOKUP(D13,Données!$E$36:$H$59,4,FALSE),)</f>
        <v>0</v>
      </c>
      <c r="AK13" s="477">
        <f t="shared" si="27"/>
        <v>0</v>
      </c>
      <c r="AL13" s="478">
        <f t="shared" si="28"/>
        <v>0</v>
      </c>
      <c r="AM13" s="479">
        <f t="shared" si="29"/>
        <v>0</v>
      </c>
      <c r="AN13" s="480">
        <f t="shared" si="24"/>
        <v>0</v>
      </c>
      <c r="AO13" s="477">
        <f t="shared" si="25"/>
        <v>0</v>
      </c>
      <c r="AP13" s="481">
        <f t="shared" si="30"/>
        <v>0</v>
      </c>
      <c r="AQ13" s="481">
        <f t="shared" si="31"/>
        <v>0</v>
      </c>
      <c r="AR13" s="481">
        <f t="shared" si="32"/>
        <v>0</v>
      </c>
      <c r="AS13" s="481">
        <f t="shared" si="33"/>
        <v>0</v>
      </c>
      <c r="AT13" s="479">
        <f t="shared" si="11"/>
        <v>0</v>
      </c>
      <c r="AU13" s="479">
        <f t="shared" si="12"/>
        <v>0</v>
      </c>
      <c r="AV13" s="471">
        <f>IF(Données!$H$8="x",AW13,AX13)</f>
        <v>1.5833333333333333</v>
      </c>
      <c r="AW13" s="471">
        <f t="shared" si="1"/>
        <v>0.79166666666666663</v>
      </c>
      <c r="AX13" s="471">
        <f t="shared" ref="AX13:AX17" si="35">IF(D13="L",AX12,(AX12+"07:36"))</f>
        <v>1.5833333333333333</v>
      </c>
      <c r="AY13" s="467" t="str">
        <f t="shared" si="13"/>
        <v>Lu</v>
      </c>
      <c r="AZ13" s="7">
        <f>IF((S39="B4")*AND(S40&lt;&gt;""),VLOOKUP(S40,Échelle!AI$5:AJ$34,2),)</f>
        <v>0</v>
      </c>
      <c r="BA13" s="4" t="s">
        <v>6</v>
      </c>
      <c r="BB13" s="148"/>
    </row>
    <row r="14" spans="2:54" x14ac:dyDescent="0.2">
      <c r="B14" s="467" t="s">
        <v>176</v>
      </c>
      <c r="C14" s="468" t="s">
        <v>581</v>
      </c>
      <c r="D14" s="469"/>
      <c r="E14" s="469"/>
      <c r="F14" s="470"/>
      <c r="G14" s="470"/>
      <c r="H14" s="470"/>
      <c r="I14" s="470"/>
      <c r="J14" s="487"/>
      <c r="K14" s="487"/>
      <c r="L14" s="488">
        <f t="shared" si="0"/>
        <v>0</v>
      </c>
      <c r="M14" s="471">
        <f t="shared" si="14"/>
        <v>0.6333333333333333</v>
      </c>
      <c r="N14" s="488">
        <f>IF(Oct!$H$48="x",AV14+Oct!$N$37,AV14)</f>
        <v>1.9</v>
      </c>
      <c r="O14" s="483" t="str">
        <f t="shared" si="2"/>
        <v>-</v>
      </c>
      <c r="P14" s="489">
        <f t="shared" si="3"/>
        <v>1.2666666666666666</v>
      </c>
      <c r="Q14" s="474">
        <f t="shared" si="4"/>
        <v>0</v>
      </c>
      <c r="R14" s="474">
        <f t="shared" si="5"/>
        <v>0</v>
      </c>
      <c r="S14" s="474">
        <f t="shared" si="6"/>
        <v>0</v>
      </c>
      <c r="T14" s="474">
        <f t="shared" si="7"/>
        <v>0</v>
      </c>
      <c r="U14" s="488">
        <f t="shared" si="8"/>
        <v>0</v>
      </c>
      <c r="V14" s="488">
        <f t="shared" si="34"/>
        <v>0</v>
      </c>
      <c r="W14" s="471">
        <f t="shared" si="9"/>
        <v>0</v>
      </c>
      <c r="X14" s="471">
        <f t="shared" si="10"/>
        <v>0</v>
      </c>
      <c r="Y14" s="469"/>
      <c r="Z14" s="470"/>
      <c r="AA14" s="470"/>
      <c r="AB14" s="475">
        <f t="shared" si="16"/>
        <v>0</v>
      </c>
      <c r="AC14" s="475">
        <f t="shared" si="17"/>
        <v>0</v>
      </c>
      <c r="AD14" s="475">
        <f t="shared" si="18"/>
        <v>0</v>
      </c>
      <c r="AE14" s="475">
        <f t="shared" si="19"/>
        <v>0</v>
      </c>
      <c r="AF14" s="476">
        <f t="shared" si="20"/>
        <v>0</v>
      </c>
      <c r="AG14" s="475">
        <f t="shared" si="21"/>
        <v>0</v>
      </c>
      <c r="AH14" s="476">
        <f t="shared" si="22"/>
        <v>0</v>
      </c>
      <c r="AI14" s="475">
        <f t="shared" si="23"/>
        <v>0</v>
      </c>
      <c r="AJ14" s="477">
        <f>IF((D14&lt;&gt;""),VLOOKUP(D14,Données!$E$36:$H$59,4,FALSE),)</f>
        <v>0</v>
      </c>
      <c r="AK14" s="477">
        <f t="shared" si="27"/>
        <v>0</v>
      </c>
      <c r="AL14" s="478">
        <f t="shared" si="28"/>
        <v>0</v>
      </c>
      <c r="AM14" s="479">
        <f t="shared" si="29"/>
        <v>0</v>
      </c>
      <c r="AN14" s="480">
        <f t="shared" si="24"/>
        <v>0</v>
      </c>
      <c r="AO14" s="477">
        <f t="shared" si="25"/>
        <v>0</v>
      </c>
      <c r="AP14" s="481">
        <f t="shared" si="30"/>
        <v>0</v>
      </c>
      <c r="AQ14" s="481">
        <f t="shared" si="31"/>
        <v>0</v>
      </c>
      <c r="AR14" s="481">
        <f t="shared" si="32"/>
        <v>0</v>
      </c>
      <c r="AS14" s="481">
        <f t="shared" si="33"/>
        <v>0</v>
      </c>
      <c r="AT14" s="479">
        <f t="shared" si="11"/>
        <v>0</v>
      </c>
      <c r="AU14" s="479">
        <f t="shared" si="12"/>
        <v>0</v>
      </c>
      <c r="AV14" s="471">
        <f>IF(Données!$H$8="x",AW14,AX14)</f>
        <v>1.9</v>
      </c>
      <c r="AW14" s="471">
        <f t="shared" si="1"/>
        <v>0.95</v>
      </c>
      <c r="AX14" s="471">
        <f t="shared" si="35"/>
        <v>1.9</v>
      </c>
      <c r="AY14" s="467" t="str">
        <f t="shared" si="13"/>
        <v>Ma</v>
      </c>
      <c r="AZ14" s="7">
        <f>IF((S39="B5")*AND(S40&lt;&gt;""),VLOOKUP(S40,Échelle!AL$5:AM$34,2),)</f>
        <v>0</v>
      </c>
      <c r="BA14" s="4" t="s">
        <v>7</v>
      </c>
      <c r="BB14" s="148"/>
    </row>
    <row r="15" spans="2:54" x14ac:dyDescent="0.2">
      <c r="B15" s="467" t="s">
        <v>178</v>
      </c>
      <c r="C15" s="468" t="s">
        <v>582</v>
      </c>
      <c r="D15" s="469"/>
      <c r="E15" s="469"/>
      <c r="F15" s="470"/>
      <c r="G15" s="470"/>
      <c r="H15" s="470"/>
      <c r="I15" s="470"/>
      <c r="J15" s="487"/>
      <c r="K15" s="487"/>
      <c r="L15" s="488">
        <f t="shared" si="0"/>
        <v>0</v>
      </c>
      <c r="M15" s="471">
        <f t="shared" si="14"/>
        <v>0.6333333333333333</v>
      </c>
      <c r="N15" s="488">
        <f>IF(Oct!$H$48="x",AV15+Oct!$N$37,AV15)</f>
        <v>2.2166666666666668</v>
      </c>
      <c r="O15" s="483" t="str">
        <f t="shared" si="2"/>
        <v>-</v>
      </c>
      <c r="P15" s="489">
        <f t="shared" si="3"/>
        <v>1.5833333333333335</v>
      </c>
      <c r="Q15" s="474">
        <f t="shared" si="4"/>
        <v>0</v>
      </c>
      <c r="R15" s="474">
        <f t="shared" si="5"/>
        <v>0</v>
      </c>
      <c r="S15" s="474">
        <f t="shared" si="6"/>
        <v>0</v>
      </c>
      <c r="T15" s="474">
        <f t="shared" si="7"/>
        <v>0</v>
      </c>
      <c r="U15" s="488">
        <f t="shared" si="8"/>
        <v>0</v>
      </c>
      <c r="V15" s="488">
        <f t="shared" si="34"/>
        <v>0</v>
      </c>
      <c r="W15" s="471">
        <f t="shared" si="9"/>
        <v>0</v>
      </c>
      <c r="X15" s="471">
        <f t="shared" si="10"/>
        <v>0</v>
      </c>
      <c r="Y15" s="469"/>
      <c r="Z15" s="470"/>
      <c r="AA15" s="470"/>
      <c r="AB15" s="475">
        <f t="shared" si="16"/>
        <v>0</v>
      </c>
      <c r="AC15" s="475">
        <f t="shared" si="17"/>
        <v>0</v>
      </c>
      <c r="AD15" s="475">
        <f t="shared" si="18"/>
        <v>0</v>
      </c>
      <c r="AE15" s="475">
        <f t="shared" si="19"/>
        <v>0</v>
      </c>
      <c r="AF15" s="476">
        <f t="shared" si="20"/>
        <v>0</v>
      </c>
      <c r="AG15" s="475">
        <f t="shared" si="21"/>
        <v>0</v>
      </c>
      <c r="AH15" s="476">
        <f t="shared" si="22"/>
        <v>0</v>
      </c>
      <c r="AI15" s="475">
        <f t="shared" si="23"/>
        <v>0</v>
      </c>
      <c r="AJ15" s="477">
        <f>IF((D15&lt;&gt;""),VLOOKUP(D15,Données!$E$36:$H$59,4,FALSE),)</f>
        <v>0</v>
      </c>
      <c r="AK15" s="477">
        <f t="shared" si="27"/>
        <v>0</v>
      </c>
      <c r="AL15" s="478">
        <f t="shared" si="28"/>
        <v>0</v>
      </c>
      <c r="AM15" s="479">
        <f t="shared" si="29"/>
        <v>0</v>
      </c>
      <c r="AN15" s="480">
        <f t="shared" si="24"/>
        <v>0</v>
      </c>
      <c r="AO15" s="477">
        <f t="shared" si="25"/>
        <v>0</v>
      </c>
      <c r="AP15" s="481">
        <f t="shared" si="30"/>
        <v>0</v>
      </c>
      <c r="AQ15" s="481">
        <f t="shared" si="31"/>
        <v>0</v>
      </c>
      <c r="AR15" s="481">
        <f t="shared" si="32"/>
        <v>0</v>
      </c>
      <c r="AS15" s="481">
        <f t="shared" si="33"/>
        <v>0</v>
      </c>
      <c r="AT15" s="479">
        <f t="shared" si="11"/>
        <v>0</v>
      </c>
      <c r="AU15" s="479">
        <f t="shared" si="12"/>
        <v>0</v>
      </c>
      <c r="AV15" s="471">
        <f>IF(Données!$H$8="x",AW15,AX15)</f>
        <v>2.2166666666666668</v>
      </c>
      <c r="AW15" s="471">
        <f t="shared" si="1"/>
        <v>1.1083333333333334</v>
      </c>
      <c r="AX15" s="471">
        <f t="shared" si="35"/>
        <v>2.2166666666666668</v>
      </c>
      <c r="AY15" s="467" t="str">
        <f t="shared" si="13"/>
        <v>Me</v>
      </c>
      <c r="AZ15" s="7">
        <f>IF((S39="M1.1")*AND(S40&lt;&gt;""),VLOOKUP(S40,Échelle!$AO$5:$AP$31,2),)</f>
        <v>0</v>
      </c>
      <c r="BA15" s="4" t="s">
        <v>8</v>
      </c>
      <c r="BB15" s="148"/>
    </row>
    <row r="16" spans="2:54" x14ac:dyDescent="0.2">
      <c r="B16" s="467" t="s">
        <v>180</v>
      </c>
      <c r="C16" s="468" t="s">
        <v>583</v>
      </c>
      <c r="D16" s="469"/>
      <c r="E16" s="469"/>
      <c r="F16" s="470"/>
      <c r="G16" s="470"/>
      <c r="H16" s="470"/>
      <c r="I16" s="470"/>
      <c r="J16" s="487"/>
      <c r="K16" s="487"/>
      <c r="L16" s="488">
        <f t="shared" si="0"/>
        <v>0</v>
      </c>
      <c r="M16" s="471">
        <f t="shared" si="14"/>
        <v>0.6333333333333333</v>
      </c>
      <c r="N16" s="488">
        <f>IF(Oct!$H$48="x",AV16+Oct!$N$37,AV16)</f>
        <v>2.5333333333333332</v>
      </c>
      <c r="O16" s="483" t="str">
        <f t="shared" si="2"/>
        <v>-</v>
      </c>
      <c r="P16" s="489">
        <f t="shared" si="3"/>
        <v>1.9</v>
      </c>
      <c r="Q16" s="474">
        <f t="shared" si="4"/>
        <v>0</v>
      </c>
      <c r="R16" s="474">
        <f t="shared" si="5"/>
        <v>0</v>
      </c>
      <c r="S16" s="474">
        <f t="shared" si="6"/>
        <v>0</v>
      </c>
      <c r="T16" s="474">
        <f t="shared" si="7"/>
        <v>0</v>
      </c>
      <c r="U16" s="488">
        <f t="shared" si="8"/>
        <v>0</v>
      </c>
      <c r="V16" s="488">
        <f t="shared" si="34"/>
        <v>0</v>
      </c>
      <c r="W16" s="471">
        <f t="shared" si="9"/>
        <v>0</v>
      </c>
      <c r="X16" s="471">
        <f t="shared" si="10"/>
        <v>0</v>
      </c>
      <c r="Y16" s="469"/>
      <c r="Z16" s="470"/>
      <c r="AA16" s="470"/>
      <c r="AB16" s="475">
        <f t="shared" si="16"/>
        <v>0</v>
      </c>
      <c r="AC16" s="475">
        <f t="shared" si="17"/>
        <v>0</v>
      </c>
      <c r="AD16" s="475">
        <f t="shared" si="18"/>
        <v>0</v>
      </c>
      <c r="AE16" s="475">
        <f t="shared" si="19"/>
        <v>0</v>
      </c>
      <c r="AF16" s="476">
        <f t="shared" si="20"/>
        <v>0</v>
      </c>
      <c r="AG16" s="475">
        <f t="shared" si="21"/>
        <v>0</v>
      </c>
      <c r="AH16" s="476">
        <f t="shared" si="22"/>
        <v>0</v>
      </c>
      <c r="AI16" s="475">
        <f t="shared" si="23"/>
        <v>0</v>
      </c>
      <c r="AJ16" s="477">
        <f>IF((D16&lt;&gt;""),VLOOKUP(D16,Données!$E$36:$H$59,4,FALSE),)</f>
        <v>0</v>
      </c>
      <c r="AK16" s="477">
        <f t="shared" si="27"/>
        <v>0</v>
      </c>
      <c r="AL16" s="478">
        <f t="shared" si="28"/>
        <v>0</v>
      </c>
      <c r="AM16" s="479">
        <f t="shared" si="29"/>
        <v>0</v>
      </c>
      <c r="AN16" s="480">
        <f t="shared" si="24"/>
        <v>0</v>
      </c>
      <c r="AO16" s="477">
        <f t="shared" si="25"/>
        <v>0</v>
      </c>
      <c r="AP16" s="481">
        <f t="shared" si="30"/>
        <v>0</v>
      </c>
      <c r="AQ16" s="481">
        <f t="shared" si="31"/>
        <v>0</v>
      </c>
      <c r="AR16" s="481">
        <f t="shared" si="32"/>
        <v>0</v>
      </c>
      <c r="AS16" s="481">
        <f t="shared" si="33"/>
        <v>0</v>
      </c>
      <c r="AT16" s="479">
        <f t="shared" si="11"/>
        <v>0</v>
      </c>
      <c r="AU16" s="479">
        <f t="shared" si="12"/>
        <v>0</v>
      </c>
      <c r="AV16" s="471">
        <f>IF(Données!$H$8="x",AW16,AX16)</f>
        <v>2.5333333333333332</v>
      </c>
      <c r="AW16" s="471">
        <f t="shared" si="1"/>
        <v>1.2666666666666666</v>
      </c>
      <c r="AX16" s="471">
        <f t="shared" si="35"/>
        <v>2.5333333333333332</v>
      </c>
      <c r="AY16" s="467" t="str">
        <f t="shared" si="13"/>
        <v>Je</v>
      </c>
      <c r="AZ16" s="7">
        <f>IF((S39="M1.2")*AND(S40&lt;&gt;""),VLOOKUP(S40,Échelle!$AR$5:$AS$31,2),)</f>
        <v>0</v>
      </c>
      <c r="BA16" s="4" t="s">
        <v>9</v>
      </c>
      <c r="BB16" s="148"/>
    </row>
    <row r="17" spans="2:54" x14ac:dyDescent="0.2">
      <c r="B17" s="430" t="s">
        <v>182</v>
      </c>
      <c r="C17" s="431" t="s">
        <v>584</v>
      </c>
      <c r="D17" s="432" t="s">
        <v>84</v>
      </c>
      <c r="E17" s="432"/>
      <c r="F17" s="433"/>
      <c r="G17" s="449"/>
      <c r="H17" s="433"/>
      <c r="I17" s="433"/>
      <c r="J17" s="438"/>
      <c r="K17" s="438"/>
      <c r="L17" s="439">
        <f t="shared" si="0"/>
        <v>0.31666666666666665</v>
      </c>
      <c r="M17" s="434">
        <f>M16+L17</f>
        <v>0.95</v>
      </c>
      <c r="N17" s="439">
        <f>IF(Oct!$H$48="x",AV17+Oct!$N$37,AV17)</f>
        <v>2.8499999999999996</v>
      </c>
      <c r="O17" s="440" t="str">
        <f t="shared" si="2"/>
        <v>-</v>
      </c>
      <c r="P17" s="441">
        <f t="shared" si="3"/>
        <v>1.8999999999999997</v>
      </c>
      <c r="Q17" s="436">
        <f t="shared" si="4"/>
        <v>0</v>
      </c>
      <c r="R17" s="436">
        <f t="shared" si="5"/>
        <v>0</v>
      </c>
      <c r="S17" s="436">
        <f t="shared" si="6"/>
        <v>0</v>
      </c>
      <c r="T17" s="436">
        <f t="shared" si="7"/>
        <v>0</v>
      </c>
      <c r="U17" s="439">
        <f t="shared" si="8"/>
        <v>0</v>
      </c>
      <c r="V17" s="439">
        <f t="shared" si="34"/>
        <v>0</v>
      </c>
      <c r="W17" s="434">
        <f t="shared" si="9"/>
        <v>0</v>
      </c>
      <c r="X17" s="434">
        <f t="shared" si="10"/>
        <v>0</v>
      </c>
      <c r="Y17" s="432"/>
      <c r="Z17" s="433"/>
      <c r="AA17" s="433"/>
      <c r="AB17" s="442">
        <f t="shared" si="16"/>
        <v>0</v>
      </c>
      <c r="AC17" s="442">
        <f t="shared" si="17"/>
        <v>0</v>
      </c>
      <c r="AD17" s="442">
        <f t="shared" si="18"/>
        <v>0</v>
      </c>
      <c r="AE17" s="442">
        <f t="shared" si="19"/>
        <v>0</v>
      </c>
      <c r="AF17" s="443">
        <f t="shared" si="20"/>
        <v>0</v>
      </c>
      <c r="AG17" s="442">
        <f t="shared" si="21"/>
        <v>0</v>
      </c>
      <c r="AH17" s="443">
        <f t="shared" si="22"/>
        <v>0</v>
      </c>
      <c r="AI17" s="442">
        <f t="shared" si="23"/>
        <v>0</v>
      </c>
      <c r="AJ17" s="444">
        <f>IF((D17&lt;&gt;""),VLOOKUP(D17,Données!$E$36:$H$59,4,FALSE),)</f>
        <v>0.31666666666666665</v>
      </c>
      <c r="AK17" s="444">
        <f t="shared" si="27"/>
        <v>0</v>
      </c>
      <c r="AL17" s="445" t="str">
        <f t="shared" si="28"/>
        <v>FC</v>
      </c>
      <c r="AM17" s="446">
        <f t="shared" si="29"/>
        <v>0</v>
      </c>
      <c r="AN17" s="447">
        <f t="shared" si="24"/>
        <v>0</v>
      </c>
      <c r="AO17" s="444">
        <f t="shared" si="25"/>
        <v>0</v>
      </c>
      <c r="AP17" s="448">
        <f t="shared" si="30"/>
        <v>0</v>
      </c>
      <c r="AQ17" s="448">
        <f t="shared" si="31"/>
        <v>0</v>
      </c>
      <c r="AR17" s="448">
        <f t="shared" si="32"/>
        <v>0</v>
      </c>
      <c r="AS17" s="448">
        <f t="shared" si="33"/>
        <v>0</v>
      </c>
      <c r="AT17" s="446">
        <f t="shared" si="11"/>
        <v>0</v>
      </c>
      <c r="AU17" s="446">
        <f t="shared" si="12"/>
        <v>0</v>
      </c>
      <c r="AV17" s="434">
        <f>IF(Données!$H$8="x",AW17,AX17)</f>
        <v>2.8499999999999996</v>
      </c>
      <c r="AW17" s="434">
        <f t="shared" si="1"/>
        <v>1.4249999999999998</v>
      </c>
      <c r="AX17" s="434">
        <f t="shared" si="35"/>
        <v>2.8499999999999996</v>
      </c>
      <c r="AY17" s="430" t="str">
        <f t="shared" si="13"/>
        <v>Ve</v>
      </c>
      <c r="AZ17" s="445">
        <f>IF((S39="M2.1")*AND(S40&lt;&gt;""),VLOOKUP(S40,Échelle!$AU$5:$AV$31,2),)</f>
        <v>0</v>
      </c>
      <c r="BA17" s="446" t="s">
        <v>10</v>
      </c>
      <c r="BB17" s="148"/>
    </row>
    <row r="18" spans="2:54" x14ac:dyDescent="0.2">
      <c r="B18" s="403" t="s">
        <v>184</v>
      </c>
      <c r="C18" s="412" t="s">
        <v>585</v>
      </c>
      <c r="D18" s="411"/>
      <c r="E18" s="411"/>
      <c r="F18" s="401"/>
      <c r="G18" s="513"/>
      <c r="H18" s="401"/>
      <c r="I18" s="401"/>
      <c r="J18" s="406"/>
      <c r="K18" s="406"/>
      <c r="L18" s="407">
        <f>(G18-F18)+(I18-H18)+(K18-J18)</f>
        <v>0</v>
      </c>
      <c r="M18" s="402">
        <f>M17+L18</f>
        <v>0.95</v>
      </c>
      <c r="N18" s="407">
        <f>IF(Oct!$H$48="x",AV18+Oct!$N$37,AV18)</f>
        <v>2.8499999999999996</v>
      </c>
      <c r="O18" s="408" t="str">
        <f t="shared" si="2"/>
        <v>-</v>
      </c>
      <c r="P18" s="409">
        <f t="shared" si="3"/>
        <v>1.8999999999999997</v>
      </c>
      <c r="Q18" s="410">
        <f t="shared" si="4"/>
        <v>0</v>
      </c>
      <c r="R18" s="410">
        <f t="shared" si="5"/>
        <v>0</v>
      </c>
      <c r="S18" s="410">
        <f t="shared" si="6"/>
        <v>0</v>
      </c>
      <c r="T18" s="410">
        <f t="shared" si="7"/>
        <v>0</v>
      </c>
      <c r="U18" s="407">
        <f t="shared" si="8"/>
        <v>0</v>
      </c>
      <c r="V18" s="407">
        <f>L18</f>
        <v>0</v>
      </c>
      <c r="W18" s="402">
        <f t="shared" si="9"/>
        <v>0</v>
      </c>
      <c r="X18" s="402">
        <f t="shared" si="10"/>
        <v>0</v>
      </c>
      <c r="Y18" s="411"/>
      <c r="Z18" s="401"/>
      <c r="AA18" s="401"/>
      <c r="AB18" s="420">
        <f t="shared" si="16"/>
        <v>0</v>
      </c>
      <c r="AC18" s="420">
        <f t="shared" si="17"/>
        <v>0</v>
      </c>
      <c r="AD18" s="420">
        <f t="shared" si="18"/>
        <v>0</v>
      </c>
      <c r="AE18" s="420">
        <f t="shared" si="19"/>
        <v>0</v>
      </c>
      <c r="AF18" s="421">
        <f t="shared" si="20"/>
        <v>0</v>
      </c>
      <c r="AG18" s="420">
        <f t="shared" si="21"/>
        <v>0</v>
      </c>
      <c r="AH18" s="421">
        <f t="shared" si="22"/>
        <v>0</v>
      </c>
      <c r="AI18" s="420">
        <f t="shared" si="23"/>
        <v>0</v>
      </c>
      <c r="AJ18" s="422">
        <f>IF((D18&lt;&gt;""),VLOOKUP(D18,Données!$E$36:$H$59,4,FALSE),)</f>
        <v>0</v>
      </c>
      <c r="AK18" s="422">
        <f t="shared" si="27"/>
        <v>0</v>
      </c>
      <c r="AL18" s="423">
        <f t="shared" si="28"/>
        <v>0</v>
      </c>
      <c r="AM18" s="424">
        <f t="shared" si="29"/>
        <v>0</v>
      </c>
      <c r="AN18" s="425">
        <f t="shared" si="24"/>
        <v>0</v>
      </c>
      <c r="AO18" s="422">
        <f t="shared" si="25"/>
        <v>0</v>
      </c>
      <c r="AP18" s="426">
        <f t="shared" si="30"/>
        <v>0</v>
      </c>
      <c r="AQ18" s="426">
        <f t="shared" si="31"/>
        <v>0</v>
      </c>
      <c r="AR18" s="426">
        <f t="shared" si="32"/>
        <v>0</v>
      </c>
      <c r="AS18" s="426">
        <f t="shared" si="33"/>
        <v>0</v>
      </c>
      <c r="AT18" s="424">
        <f t="shared" si="11"/>
        <v>0</v>
      </c>
      <c r="AU18" s="424">
        <f t="shared" si="12"/>
        <v>0</v>
      </c>
      <c r="AV18" s="402">
        <f>IF(Données!$H$8="x",AW18,AX18)</f>
        <v>2.8499999999999996</v>
      </c>
      <c r="AW18" s="402">
        <f t="shared" si="1"/>
        <v>1.4249999999999998</v>
      </c>
      <c r="AX18" s="402">
        <f>AX17</f>
        <v>2.8499999999999996</v>
      </c>
      <c r="AY18" s="403" t="str">
        <f t="shared" si="13"/>
        <v>Sa</v>
      </c>
      <c r="AZ18" s="423">
        <f>IF((S39="M2.2")*AND(S40&lt;&gt;""),VLOOKUP(S40,Échelle!$AX$5:$AY$31,2),)</f>
        <v>0</v>
      </c>
      <c r="BA18" s="424" t="s">
        <v>11</v>
      </c>
      <c r="BB18" s="148"/>
    </row>
    <row r="19" spans="2:54" x14ac:dyDescent="0.2">
      <c r="B19" s="403" t="s">
        <v>186</v>
      </c>
      <c r="C19" s="412" t="s">
        <v>586</v>
      </c>
      <c r="D19" s="411"/>
      <c r="E19" s="411"/>
      <c r="F19" s="401"/>
      <c r="G19" s="401"/>
      <c r="H19" s="401"/>
      <c r="I19" s="401"/>
      <c r="J19" s="406"/>
      <c r="K19" s="406"/>
      <c r="L19" s="407">
        <f>(G19-F19)+(I19-H19)+(K19-J19)</f>
        <v>0</v>
      </c>
      <c r="M19" s="402">
        <f t="shared" si="14"/>
        <v>0.95</v>
      </c>
      <c r="N19" s="407">
        <f>IF(Oct!$H$48="x",AV19+Oct!$N$37,AV19)</f>
        <v>2.8499999999999996</v>
      </c>
      <c r="O19" s="408" t="str">
        <f t="shared" si="2"/>
        <v>-</v>
      </c>
      <c r="P19" s="409">
        <f t="shared" si="3"/>
        <v>1.8999999999999997</v>
      </c>
      <c r="Q19" s="410">
        <f t="shared" si="4"/>
        <v>0</v>
      </c>
      <c r="R19" s="410">
        <f t="shared" si="5"/>
        <v>0</v>
      </c>
      <c r="S19" s="410">
        <f t="shared" si="6"/>
        <v>0</v>
      </c>
      <c r="T19" s="410">
        <f t="shared" si="7"/>
        <v>0</v>
      </c>
      <c r="U19" s="407">
        <f t="shared" si="8"/>
        <v>0</v>
      </c>
      <c r="V19" s="407">
        <f>L19</f>
        <v>0</v>
      </c>
      <c r="W19" s="402">
        <f t="shared" si="9"/>
        <v>0</v>
      </c>
      <c r="X19" s="402">
        <f t="shared" si="10"/>
        <v>0</v>
      </c>
      <c r="Y19" s="411"/>
      <c r="Z19" s="401"/>
      <c r="AA19" s="401"/>
      <c r="AB19" s="420">
        <f t="shared" si="16"/>
        <v>0</v>
      </c>
      <c r="AC19" s="420">
        <f t="shared" si="17"/>
        <v>0</v>
      </c>
      <c r="AD19" s="420">
        <f t="shared" si="18"/>
        <v>0</v>
      </c>
      <c r="AE19" s="420">
        <f t="shared" si="19"/>
        <v>0</v>
      </c>
      <c r="AF19" s="421">
        <f t="shared" si="20"/>
        <v>0</v>
      </c>
      <c r="AG19" s="420">
        <f t="shared" si="21"/>
        <v>0</v>
      </c>
      <c r="AH19" s="421">
        <f t="shared" si="22"/>
        <v>0</v>
      </c>
      <c r="AI19" s="420">
        <f t="shared" si="23"/>
        <v>0</v>
      </c>
      <c r="AJ19" s="422">
        <f>IF((D19&lt;&gt;""),VLOOKUP(D19,Données!$E$36:$H$59,4,FALSE),)</f>
        <v>0</v>
      </c>
      <c r="AK19" s="422">
        <f t="shared" si="27"/>
        <v>0</v>
      </c>
      <c r="AL19" s="423">
        <f t="shared" si="28"/>
        <v>0</v>
      </c>
      <c r="AM19" s="424">
        <f t="shared" si="29"/>
        <v>0</v>
      </c>
      <c r="AN19" s="425">
        <f t="shared" si="24"/>
        <v>0</v>
      </c>
      <c r="AO19" s="422">
        <f t="shared" si="25"/>
        <v>0</v>
      </c>
      <c r="AP19" s="426">
        <f t="shared" si="30"/>
        <v>0</v>
      </c>
      <c r="AQ19" s="426">
        <f t="shared" si="31"/>
        <v>0</v>
      </c>
      <c r="AR19" s="426">
        <f t="shared" si="32"/>
        <v>0</v>
      </c>
      <c r="AS19" s="426">
        <f t="shared" si="33"/>
        <v>0</v>
      </c>
      <c r="AT19" s="424">
        <f t="shared" si="11"/>
        <v>0</v>
      </c>
      <c r="AU19" s="424">
        <f t="shared" si="12"/>
        <v>0</v>
      </c>
      <c r="AV19" s="402">
        <f>IF(Données!$H$8="x",AW19,AX19)</f>
        <v>2.8499999999999996</v>
      </c>
      <c r="AW19" s="402">
        <f t="shared" si="1"/>
        <v>1.4249999999999998</v>
      </c>
      <c r="AX19" s="402">
        <f>AX18</f>
        <v>2.8499999999999996</v>
      </c>
      <c r="AY19" s="403" t="str">
        <f t="shared" si="13"/>
        <v>Di</v>
      </c>
      <c r="AZ19" s="423">
        <f>IF((S39="M3.1")*AND(S40&lt;&gt;""),VLOOKUP(S40,Échelle!$BA$5:$BB$31,2),)</f>
        <v>0</v>
      </c>
      <c r="BA19" s="424" t="s">
        <v>12</v>
      </c>
      <c r="BB19" s="148"/>
    </row>
    <row r="20" spans="2:54" x14ac:dyDescent="0.2">
      <c r="B20" s="467" t="s">
        <v>188</v>
      </c>
      <c r="C20" s="468" t="s">
        <v>587</v>
      </c>
      <c r="D20" s="469"/>
      <c r="E20" s="469"/>
      <c r="F20" s="470"/>
      <c r="G20" s="470"/>
      <c r="H20" s="470"/>
      <c r="I20" s="470"/>
      <c r="J20" s="487"/>
      <c r="K20" s="487"/>
      <c r="L20" s="488">
        <f t="shared" si="0"/>
        <v>0</v>
      </c>
      <c r="M20" s="471">
        <f t="shared" si="14"/>
        <v>0.95</v>
      </c>
      <c r="N20" s="488">
        <f>IF(Oct!$H$48="x",AV20+Oct!$N$37,AV20)</f>
        <v>3.1666666666666661</v>
      </c>
      <c r="O20" s="483" t="str">
        <f t="shared" si="2"/>
        <v>-</v>
      </c>
      <c r="P20" s="489">
        <f t="shared" si="3"/>
        <v>2.2166666666666659</v>
      </c>
      <c r="Q20" s="474">
        <f t="shared" si="4"/>
        <v>0</v>
      </c>
      <c r="R20" s="474">
        <f t="shared" si="5"/>
        <v>0</v>
      </c>
      <c r="S20" s="474">
        <f t="shared" si="6"/>
        <v>0</v>
      </c>
      <c r="T20" s="474">
        <f t="shared" si="7"/>
        <v>0</v>
      </c>
      <c r="U20" s="488">
        <f t="shared" si="8"/>
        <v>0</v>
      </c>
      <c r="V20" s="488">
        <f t="shared" ref="V20:V24" si="36">IF(D20="F",L20,0)</f>
        <v>0</v>
      </c>
      <c r="W20" s="471">
        <f t="shared" si="9"/>
        <v>0</v>
      </c>
      <c r="X20" s="471">
        <f t="shared" si="10"/>
        <v>0</v>
      </c>
      <c r="Y20" s="469"/>
      <c r="Z20" s="470"/>
      <c r="AA20" s="470"/>
      <c r="AB20" s="475">
        <f t="shared" si="16"/>
        <v>0</v>
      </c>
      <c r="AC20" s="475">
        <f t="shared" si="17"/>
        <v>0</v>
      </c>
      <c r="AD20" s="475">
        <f t="shared" si="18"/>
        <v>0</v>
      </c>
      <c r="AE20" s="475">
        <f t="shared" si="19"/>
        <v>0</v>
      </c>
      <c r="AF20" s="476">
        <f t="shared" si="20"/>
        <v>0</v>
      </c>
      <c r="AG20" s="475">
        <f t="shared" si="21"/>
        <v>0</v>
      </c>
      <c r="AH20" s="476">
        <f t="shared" si="22"/>
        <v>0</v>
      </c>
      <c r="AI20" s="475">
        <f t="shared" si="23"/>
        <v>0</v>
      </c>
      <c r="AJ20" s="477">
        <f>IF((D20&lt;&gt;""),VLOOKUP(D20,Données!$E$36:$H$59,4,FALSE),)</f>
        <v>0</v>
      </c>
      <c r="AK20" s="477">
        <f t="shared" si="27"/>
        <v>0</v>
      </c>
      <c r="AL20" s="478">
        <f t="shared" si="28"/>
        <v>0</v>
      </c>
      <c r="AM20" s="479">
        <f t="shared" si="29"/>
        <v>0</v>
      </c>
      <c r="AN20" s="480">
        <f t="shared" si="24"/>
        <v>0</v>
      </c>
      <c r="AO20" s="477">
        <f t="shared" si="25"/>
        <v>0</v>
      </c>
      <c r="AP20" s="481">
        <f t="shared" si="30"/>
        <v>0</v>
      </c>
      <c r="AQ20" s="481">
        <f t="shared" si="31"/>
        <v>0</v>
      </c>
      <c r="AR20" s="481">
        <f t="shared" si="32"/>
        <v>0</v>
      </c>
      <c r="AS20" s="481">
        <f t="shared" si="33"/>
        <v>0</v>
      </c>
      <c r="AT20" s="479">
        <f t="shared" si="11"/>
        <v>0</v>
      </c>
      <c r="AU20" s="479">
        <f t="shared" si="12"/>
        <v>0</v>
      </c>
      <c r="AV20" s="471">
        <f>IF(Données!$H$8="x",AW20,AX20)</f>
        <v>3.1666666666666661</v>
      </c>
      <c r="AW20" s="471">
        <f t="shared" si="1"/>
        <v>1.583333333333333</v>
      </c>
      <c r="AX20" s="471">
        <f t="shared" ref="AX20:AX24" si="37">IF(D20="L",AX19,(AX19+"07:36"))</f>
        <v>3.1666666666666661</v>
      </c>
      <c r="AY20" s="467" t="str">
        <f t="shared" si="13"/>
        <v>Lu</v>
      </c>
      <c r="AZ20" s="7">
        <f>IF((S39="M3.2")*AND(S40&lt;&gt;""),VLOOKUP(S40,Échelle!$BD$5:$BE$31,2),)</f>
        <v>0</v>
      </c>
      <c r="BA20" s="4" t="s">
        <v>13</v>
      </c>
      <c r="BB20" s="148"/>
    </row>
    <row r="21" spans="2:54" x14ac:dyDescent="0.2">
      <c r="B21" s="430" t="s">
        <v>176</v>
      </c>
      <c r="C21" s="431" t="s">
        <v>588</v>
      </c>
      <c r="D21" s="432" t="s">
        <v>84</v>
      </c>
      <c r="E21" s="432"/>
      <c r="F21" s="433"/>
      <c r="G21" s="433"/>
      <c r="H21" s="433"/>
      <c r="I21" s="433"/>
      <c r="J21" s="438"/>
      <c r="K21" s="438"/>
      <c r="L21" s="439">
        <f t="shared" si="0"/>
        <v>0.31666666666666665</v>
      </c>
      <c r="M21" s="434">
        <f t="shared" si="14"/>
        <v>1.2666666666666666</v>
      </c>
      <c r="N21" s="439">
        <f>IF(Oct!$H$48="x",AV21+Oct!$N$37,AV21)</f>
        <v>3.4833333333333325</v>
      </c>
      <c r="O21" s="440" t="str">
        <f t="shared" si="2"/>
        <v>-</v>
      </c>
      <c r="P21" s="441">
        <f t="shared" si="3"/>
        <v>2.2166666666666659</v>
      </c>
      <c r="Q21" s="436">
        <f t="shared" si="4"/>
        <v>0</v>
      </c>
      <c r="R21" s="436">
        <f t="shared" si="5"/>
        <v>0</v>
      </c>
      <c r="S21" s="436">
        <f t="shared" si="6"/>
        <v>0</v>
      </c>
      <c r="T21" s="436">
        <f t="shared" si="7"/>
        <v>0</v>
      </c>
      <c r="U21" s="439">
        <f t="shared" si="8"/>
        <v>0</v>
      </c>
      <c r="V21" s="439">
        <f t="shared" si="36"/>
        <v>0</v>
      </c>
      <c r="W21" s="434">
        <f t="shared" si="9"/>
        <v>0</v>
      </c>
      <c r="X21" s="434">
        <f t="shared" si="10"/>
        <v>0</v>
      </c>
      <c r="Y21" s="432"/>
      <c r="Z21" s="433"/>
      <c r="AA21" s="433"/>
      <c r="AB21" s="442">
        <f t="shared" si="16"/>
        <v>0</v>
      </c>
      <c r="AC21" s="442">
        <f t="shared" si="17"/>
        <v>0</v>
      </c>
      <c r="AD21" s="442">
        <f t="shared" si="18"/>
        <v>0</v>
      </c>
      <c r="AE21" s="442">
        <f t="shared" si="19"/>
        <v>0</v>
      </c>
      <c r="AF21" s="443">
        <f t="shared" si="20"/>
        <v>0</v>
      </c>
      <c r="AG21" s="442">
        <f t="shared" si="21"/>
        <v>0</v>
      </c>
      <c r="AH21" s="443">
        <f t="shared" si="22"/>
        <v>0</v>
      </c>
      <c r="AI21" s="442">
        <f t="shared" si="23"/>
        <v>0</v>
      </c>
      <c r="AJ21" s="444">
        <f>IF((D21&lt;&gt;""),VLOOKUP(D21,Données!$E$36:$H$59,4,FALSE),)</f>
        <v>0.31666666666666665</v>
      </c>
      <c r="AK21" s="444">
        <f t="shared" si="27"/>
        <v>0</v>
      </c>
      <c r="AL21" s="445" t="str">
        <f t="shared" si="28"/>
        <v>FC</v>
      </c>
      <c r="AM21" s="446">
        <f t="shared" si="29"/>
        <v>0</v>
      </c>
      <c r="AN21" s="447">
        <f t="shared" si="24"/>
        <v>0</v>
      </c>
      <c r="AO21" s="444">
        <f t="shared" si="25"/>
        <v>0</v>
      </c>
      <c r="AP21" s="448">
        <f t="shared" si="30"/>
        <v>0</v>
      </c>
      <c r="AQ21" s="448">
        <f t="shared" si="31"/>
        <v>0</v>
      </c>
      <c r="AR21" s="448">
        <f t="shared" si="32"/>
        <v>0</v>
      </c>
      <c r="AS21" s="448">
        <f t="shared" si="33"/>
        <v>0</v>
      </c>
      <c r="AT21" s="446">
        <f t="shared" si="11"/>
        <v>0</v>
      </c>
      <c r="AU21" s="446">
        <f t="shared" si="12"/>
        <v>0</v>
      </c>
      <c r="AV21" s="434">
        <f>IF(Données!$H$8="x",AW21,AX21)</f>
        <v>3.4833333333333325</v>
      </c>
      <c r="AW21" s="434">
        <f t="shared" si="1"/>
        <v>1.7416666666666663</v>
      </c>
      <c r="AX21" s="434">
        <f t="shared" si="37"/>
        <v>3.4833333333333325</v>
      </c>
      <c r="AY21" s="430" t="str">
        <f t="shared" si="13"/>
        <v>Ma</v>
      </c>
      <c r="AZ21" s="445">
        <f>IF((S39="M4.1")*AND(S40&lt;&gt;""),VLOOKUP(S40,Échelle!$BJ$39:$BK$68,2),)</f>
        <v>0</v>
      </c>
      <c r="BA21" s="446" t="s">
        <v>14</v>
      </c>
      <c r="BB21" s="148"/>
    </row>
    <row r="22" spans="2:54" x14ac:dyDescent="0.2">
      <c r="B22" s="467" t="s">
        <v>178</v>
      </c>
      <c r="C22" s="468" t="s">
        <v>589</v>
      </c>
      <c r="D22" s="469"/>
      <c r="E22" s="469"/>
      <c r="F22" s="470"/>
      <c r="G22" s="470"/>
      <c r="H22" s="470"/>
      <c r="I22" s="470"/>
      <c r="J22" s="487"/>
      <c r="K22" s="487"/>
      <c r="L22" s="488">
        <f t="shared" si="0"/>
        <v>0</v>
      </c>
      <c r="M22" s="471">
        <f t="shared" si="14"/>
        <v>1.2666666666666666</v>
      </c>
      <c r="N22" s="488">
        <f>IF(Oct!$H$48="x",AV22+Oct!$N$37,AV22)</f>
        <v>3.7999999999999989</v>
      </c>
      <c r="O22" s="483" t="str">
        <f t="shared" si="2"/>
        <v>-</v>
      </c>
      <c r="P22" s="489">
        <f t="shared" si="3"/>
        <v>2.5333333333333323</v>
      </c>
      <c r="Q22" s="474">
        <f t="shared" si="4"/>
        <v>0</v>
      </c>
      <c r="R22" s="474">
        <f t="shared" si="5"/>
        <v>0</v>
      </c>
      <c r="S22" s="474">
        <f t="shared" si="6"/>
        <v>0</v>
      </c>
      <c r="T22" s="474">
        <f t="shared" si="7"/>
        <v>0</v>
      </c>
      <c r="U22" s="488">
        <f t="shared" si="8"/>
        <v>0</v>
      </c>
      <c r="V22" s="488">
        <f t="shared" si="36"/>
        <v>0</v>
      </c>
      <c r="W22" s="471">
        <f t="shared" si="9"/>
        <v>0</v>
      </c>
      <c r="X22" s="471">
        <f t="shared" si="10"/>
        <v>0</v>
      </c>
      <c r="Y22" s="469"/>
      <c r="Z22" s="470"/>
      <c r="AA22" s="470"/>
      <c r="AB22" s="475">
        <f t="shared" si="16"/>
        <v>0</v>
      </c>
      <c r="AC22" s="475">
        <f t="shared" si="17"/>
        <v>0</v>
      </c>
      <c r="AD22" s="475">
        <f t="shared" si="18"/>
        <v>0</v>
      </c>
      <c r="AE22" s="475">
        <f t="shared" si="19"/>
        <v>0</v>
      </c>
      <c r="AF22" s="476">
        <f t="shared" si="20"/>
        <v>0</v>
      </c>
      <c r="AG22" s="475">
        <f t="shared" si="21"/>
        <v>0</v>
      </c>
      <c r="AH22" s="476">
        <f t="shared" si="22"/>
        <v>0</v>
      </c>
      <c r="AI22" s="475">
        <f t="shared" si="23"/>
        <v>0</v>
      </c>
      <c r="AJ22" s="477">
        <f>IF((D22&lt;&gt;""),VLOOKUP(D22,Données!$E$36:$H$59,4,FALSE),)</f>
        <v>0</v>
      </c>
      <c r="AK22" s="477">
        <f t="shared" si="27"/>
        <v>0</v>
      </c>
      <c r="AL22" s="478">
        <f t="shared" si="28"/>
        <v>0</v>
      </c>
      <c r="AM22" s="479">
        <f t="shared" si="29"/>
        <v>0</v>
      </c>
      <c r="AN22" s="480">
        <f t="shared" si="24"/>
        <v>0</v>
      </c>
      <c r="AO22" s="477">
        <f t="shared" si="25"/>
        <v>0</v>
      </c>
      <c r="AP22" s="481">
        <f t="shared" si="30"/>
        <v>0</v>
      </c>
      <c r="AQ22" s="481">
        <f t="shared" si="31"/>
        <v>0</v>
      </c>
      <c r="AR22" s="481">
        <f t="shared" si="32"/>
        <v>0</v>
      </c>
      <c r="AS22" s="481">
        <f t="shared" si="33"/>
        <v>0</v>
      </c>
      <c r="AT22" s="479">
        <f t="shared" si="11"/>
        <v>0</v>
      </c>
      <c r="AU22" s="479">
        <f t="shared" si="12"/>
        <v>0</v>
      </c>
      <c r="AV22" s="471">
        <f>IF(Données!$H$8="x",AW22,AX22)</f>
        <v>3.7999999999999989</v>
      </c>
      <c r="AW22" s="471">
        <f t="shared" si="1"/>
        <v>1.8999999999999995</v>
      </c>
      <c r="AX22" s="471">
        <f t="shared" si="37"/>
        <v>3.7999999999999989</v>
      </c>
      <c r="AY22" s="467" t="str">
        <f t="shared" si="13"/>
        <v>Me</v>
      </c>
      <c r="AZ22" s="7">
        <f>IF((S39="M4.2")*AND(S40&lt;&gt;""),VLOOKUP(S40,Échelle!$BJ$5:$BK$31,2),)</f>
        <v>0</v>
      </c>
      <c r="BA22" s="4" t="s">
        <v>15</v>
      </c>
      <c r="BB22" s="148"/>
    </row>
    <row r="23" spans="2:54" x14ac:dyDescent="0.2">
      <c r="B23" s="467" t="s">
        <v>180</v>
      </c>
      <c r="C23" s="468" t="s">
        <v>590</v>
      </c>
      <c r="D23" s="469"/>
      <c r="E23" s="469"/>
      <c r="F23" s="470"/>
      <c r="G23" s="470"/>
      <c r="H23" s="470"/>
      <c r="I23" s="470"/>
      <c r="J23" s="487"/>
      <c r="K23" s="487"/>
      <c r="L23" s="488">
        <f t="shared" si="0"/>
        <v>0</v>
      </c>
      <c r="M23" s="471">
        <f t="shared" si="14"/>
        <v>1.2666666666666666</v>
      </c>
      <c r="N23" s="488">
        <f>IF(Oct!$H$48="x",AV23+Oct!$N$37,AV23)</f>
        <v>4.1166666666666654</v>
      </c>
      <c r="O23" s="483" t="str">
        <f t="shared" si="2"/>
        <v>-</v>
      </c>
      <c r="P23" s="489">
        <f t="shared" si="3"/>
        <v>2.8499999999999988</v>
      </c>
      <c r="Q23" s="474">
        <f t="shared" si="4"/>
        <v>0</v>
      </c>
      <c r="R23" s="474">
        <f t="shared" si="5"/>
        <v>0</v>
      </c>
      <c r="S23" s="474">
        <f t="shared" si="6"/>
        <v>0</v>
      </c>
      <c r="T23" s="474">
        <f t="shared" si="7"/>
        <v>0</v>
      </c>
      <c r="U23" s="488">
        <f t="shared" si="8"/>
        <v>0</v>
      </c>
      <c r="V23" s="488">
        <f t="shared" si="36"/>
        <v>0</v>
      </c>
      <c r="W23" s="471">
        <f t="shared" si="9"/>
        <v>0</v>
      </c>
      <c r="X23" s="471">
        <f t="shared" si="10"/>
        <v>0</v>
      </c>
      <c r="Y23" s="469"/>
      <c r="Z23" s="470"/>
      <c r="AA23" s="470"/>
      <c r="AB23" s="475">
        <f t="shared" si="16"/>
        <v>0</v>
      </c>
      <c r="AC23" s="475">
        <f t="shared" si="17"/>
        <v>0</v>
      </c>
      <c r="AD23" s="475">
        <f t="shared" si="18"/>
        <v>0</v>
      </c>
      <c r="AE23" s="475">
        <f t="shared" si="19"/>
        <v>0</v>
      </c>
      <c r="AF23" s="476">
        <f t="shared" si="20"/>
        <v>0</v>
      </c>
      <c r="AG23" s="475">
        <f t="shared" si="21"/>
        <v>0</v>
      </c>
      <c r="AH23" s="476">
        <f t="shared" si="22"/>
        <v>0</v>
      </c>
      <c r="AI23" s="475">
        <f t="shared" si="23"/>
        <v>0</v>
      </c>
      <c r="AJ23" s="477">
        <f>IF((D23&lt;&gt;""),VLOOKUP(D23,Données!$E$36:$H$59,4,FALSE),)</f>
        <v>0</v>
      </c>
      <c r="AK23" s="477">
        <f t="shared" si="27"/>
        <v>0</v>
      </c>
      <c r="AL23" s="478">
        <f t="shared" si="28"/>
        <v>0</v>
      </c>
      <c r="AM23" s="479">
        <f t="shared" si="29"/>
        <v>0</v>
      </c>
      <c r="AN23" s="480">
        <f t="shared" si="24"/>
        <v>0</v>
      </c>
      <c r="AO23" s="477">
        <f t="shared" si="25"/>
        <v>0</v>
      </c>
      <c r="AP23" s="481">
        <f t="shared" si="30"/>
        <v>0</v>
      </c>
      <c r="AQ23" s="481">
        <f t="shared" si="31"/>
        <v>0</v>
      </c>
      <c r="AR23" s="481">
        <f t="shared" si="32"/>
        <v>0</v>
      </c>
      <c r="AS23" s="481">
        <f t="shared" si="33"/>
        <v>0</v>
      </c>
      <c r="AT23" s="479">
        <f t="shared" si="11"/>
        <v>0</v>
      </c>
      <c r="AU23" s="479">
        <f t="shared" si="12"/>
        <v>0</v>
      </c>
      <c r="AV23" s="471">
        <f>IF(Données!$H$8="x",AW23,AX23)</f>
        <v>4.1166666666666654</v>
      </c>
      <c r="AW23" s="471">
        <f t="shared" si="1"/>
        <v>2.0583333333333327</v>
      </c>
      <c r="AX23" s="471">
        <f t="shared" si="37"/>
        <v>4.1166666666666654</v>
      </c>
      <c r="AY23" s="467" t="str">
        <f t="shared" si="13"/>
        <v>Je</v>
      </c>
      <c r="AZ23" s="7">
        <f>IF((S39="M5.1")*AND(S40&lt;&gt;""),VLOOKUP(S40,Échelle!$BM$39:$BN$68,2),)</f>
        <v>33577</v>
      </c>
      <c r="BA23" s="4" t="s">
        <v>16</v>
      </c>
      <c r="BB23" s="148"/>
    </row>
    <row r="24" spans="2:54" x14ac:dyDescent="0.2">
      <c r="B24" s="467" t="s">
        <v>182</v>
      </c>
      <c r="C24" s="468" t="s">
        <v>591</v>
      </c>
      <c r="D24" s="469"/>
      <c r="E24" s="469"/>
      <c r="F24" s="470"/>
      <c r="G24" s="470"/>
      <c r="H24" s="470"/>
      <c r="I24" s="470"/>
      <c r="J24" s="487"/>
      <c r="K24" s="487"/>
      <c r="L24" s="488">
        <f t="shared" si="0"/>
        <v>0</v>
      </c>
      <c r="M24" s="471">
        <f>M23+L24</f>
        <v>1.2666666666666666</v>
      </c>
      <c r="N24" s="488">
        <f>IF(Oct!$H$48="x",AV24+Oct!$N$37,AV24)</f>
        <v>4.4333333333333318</v>
      </c>
      <c r="O24" s="483" t="str">
        <f t="shared" si="2"/>
        <v>-</v>
      </c>
      <c r="P24" s="489">
        <f t="shared" si="3"/>
        <v>3.1666666666666652</v>
      </c>
      <c r="Q24" s="474">
        <f t="shared" si="4"/>
        <v>0</v>
      </c>
      <c r="R24" s="474">
        <f t="shared" si="5"/>
        <v>0</v>
      </c>
      <c r="S24" s="474">
        <f t="shared" si="6"/>
        <v>0</v>
      </c>
      <c r="T24" s="474">
        <f t="shared" si="7"/>
        <v>0</v>
      </c>
      <c r="U24" s="488">
        <f t="shared" si="8"/>
        <v>0</v>
      </c>
      <c r="V24" s="488">
        <f t="shared" si="36"/>
        <v>0</v>
      </c>
      <c r="W24" s="471">
        <f t="shared" si="9"/>
        <v>0</v>
      </c>
      <c r="X24" s="471">
        <f t="shared" si="10"/>
        <v>0</v>
      </c>
      <c r="Y24" s="469"/>
      <c r="Z24" s="470"/>
      <c r="AA24" s="470"/>
      <c r="AB24" s="475">
        <f t="shared" si="16"/>
        <v>0</v>
      </c>
      <c r="AC24" s="475">
        <f t="shared" si="17"/>
        <v>0</v>
      </c>
      <c r="AD24" s="475">
        <f t="shared" si="18"/>
        <v>0</v>
      </c>
      <c r="AE24" s="475">
        <f t="shared" si="19"/>
        <v>0</v>
      </c>
      <c r="AF24" s="476">
        <f t="shared" si="20"/>
        <v>0</v>
      </c>
      <c r="AG24" s="475">
        <f t="shared" si="21"/>
        <v>0</v>
      </c>
      <c r="AH24" s="476">
        <f t="shared" si="22"/>
        <v>0</v>
      </c>
      <c r="AI24" s="475">
        <f t="shared" si="23"/>
        <v>0</v>
      </c>
      <c r="AJ24" s="477">
        <f>IF((D24&lt;&gt;""),VLOOKUP(D24,Données!$E$36:$H$59,4,FALSE),)</f>
        <v>0</v>
      </c>
      <c r="AK24" s="477">
        <f t="shared" si="27"/>
        <v>0</v>
      </c>
      <c r="AL24" s="478">
        <f t="shared" si="28"/>
        <v>0</v>
      </c>
      <c r="AM24" s="479">
        <f t="shared" si="29"/>
        <v>0</v>
      </c>
      <c r="AN24" s="480">
        <f t="shared" si="24"/>
        <v>0</v>
      </c>
      <c r="AO24" s="477">
        <f t="shared" si="25"/>
        <v>0</v>
      </c>
      <c r="AP24" s="481">
        <f t="shared" si="30"/>
        <v>0</v>
      </c>
      <c r="AQ24" s="481">
        <f t="shared" si="31"/>
        <v>0</v>
      </c>
      <c r="AR24" s="481">
        <f t="shared" si="32"/>
        <v>0</v>
      </c>
      <c r="AS24" s="481">
        <f t="shared" si="33"/>
        <v>0</v>
      </c>
      <c r="AT24" s="479">
        <f t="shared" si="11"/>
        <v>0</v>
      </c>
      <c r="AU24" s="479">
        <f t="shared" si="12"/>
        <v>0</v>
      </c>
      <c r="AV24" s="471">
        <f>IF(Données!$H$8="x",AW24,AX24)</f>
        <v>4.4333333333333318</v>
      </c>
      <c r="AW24" s="471">
        <f t="shared" si="1"/>
        <v>2.2166666666666659</v>
      </c>
      <c r="AX24" s="471">
        <f t="shared" si="37"/>
        <v>4.4333333333333318</v>
      </c>
      <c r="AY24" s="467" t="str">
        <f t="shared" si="13"/>
        <v>Ve</v>
      </c>
      <c r="AZ24" s="7">
        <f>IF((S39="M5.2")*AND(S40&lt;&gt;""),VLOOKUP(S40,Échelle!$BP$5:$BQ$31,2),)</f>
        <v>0</v>
      </c>
      <c r="BA24" s="4" t="s">
        <v>17</v>
      </c>
      <c r="BB24" s="148"/>
    </row>
    <row r="25" spans="2:54" x14ac:dyDescent="0.2">
      <c r="B25" s="403" t="s">
        <v>184</v>
      </c>
      <c r="C25" s="412" t="s">
        <v>592</v>
      </c>
      <c r="D25" s="411"/>
      <c r="E25" s="411"/>
      <c r="F25" s="401"/>
      <c r="G25" s="401"/>
      <c r="H25" s="401"/>
      <c r="I25" s="401"/>
      <c r="J25" s="406"/>
      <c r="K25" s="406"/>
      <c r="L25" s="407">
        <f>(G25-F25)+(I25-H25)+(K25-J25)</f>
        <v>0</v>
      </c>
      <c r="M25" s="402">
        <f>M24+L25</f>
        <v>1.2666666666666666</v>
      </c>
      <c r="N25" s="407">
        <f>IF(Oct!$H$48="x",AV25+Oct!$N$37,AV25)</f>
        <v>4.4333333333333318</v>
      </c>
      <c r="O25" s="408" t="str">
        <f t="shared" si="2"/>
        <v>-</v>
      </c>
      <c r="P25" s="409">
        <f t="shared" si="3"/>
        <v>3.1666666666666652</v>
      </c>
      <c r="Q25" s="410">
        <f t="shared" si="4"/>
        <v>0</v>
      </c>
      <c r="R25" s="410">
        <f t="shared" si="5"/>
        <v>0</v>
      </c>
      <c r="S25" s="410">
        <f t="shared" si="6"/>
        <v>0</v>
      </c>
      <c r="T25" s="410">
        <f t="shared" si="7"/>
        <v>0</v>
      </c>
      <c r="U25" s="407">
        <f t="shared" si="8"/>
        <v>0</v>
      </c>
      <c r="V25" s="407">
        <f>L25</f>
        <v>0</v>
      </c>
      <c r="W25" s="402">
        <f t="shared" si="9"/>
        <v>0</v>
      </c>
      <c r="X25" s="402">
        <f t="shared" si="10"/>
        <v>0</v>
      </c>
      <c r="Y25" s="411"/>
      <c r="Z25" s="401"/>
      <c r="AA25" s="401"/>
      <c r="AB25" s="420">
        <f t="shared" si="16"/>
        <v>0</v>
      </c>
      <c r="AC25" s="420">
        <f t="shared" si="17"/>
        <v>0</v>
      </c>
      <c r="AD25" s="420">
        <f t="shared" si="18"/>
        <v>0</v>
      </c>
      <c r="AE25" s="420">
        <f t="shared" si="19"/>
        <v>0</v>
      </c>
      <c r="AF25" s="421">
        <f t="shared" si="20"/>
        <v>0</v>
      </c>
      <c r="AG25" s="420">
        <f t="shared" si="21"/>
        <v>0</v>
      </c>
      <c r="AH25" s="421">
        <f t="shared" si="22"/>
        <v>0</v>
      </c>
      <c r="AI25" s="420">
        <f t="shared" si="23"/>
        <v>0</v>
      </c>
      <c r="AJ25" s="422">
        <f>IF((D25&lt;&gt;""),VLOOKUP(D25,Données!$E$36:$H$59,4,FALSE),)</f>
        <v>0</v>
      </c>
      <c r="AK25" s="422">
        <f t="shared" si="27"/>
        <v>0</v>
      </c>
      <c r="AL25" s="423">
        <f t="shared" si="28"/>
        <v>0</v>
      </c>
      <c r="AM25" s="424">
        <f t="shared" si="29"/>
        <v>0</v>
      </c>
      <c r="AN25" s="425">
        <f t="shared" si="24"/>
        <v>0</v>
      </c>
      <c r="AO25" s="422">
        <f t="shared" si="25"/>
        <v>0</v>
      </c>
      <c r="AP25" s="426">
        <f t="shared" si="30"/>
        <v>0</v>
      </c>
      <c r="AQ25" s="426">
        <f t="shared" si="31"/>
        <v>0</v>
      </c>
      <c r="AR25" s="426">
        <f t="shared" si="32"/>
        <v>0</v>
      </c>
      <c r="AS25" s="426">
        <f t="shared" si="33"/>
        <v>0</v>
      </c>
      <c r="AT25" s="424">
        <f t="shared" si="11"/>
        <v>0</v>
      </c>
      <c r="AU25" s="424">
        <f t="shared" si="12"/>
        <v>0</v>
      </c>
      <c r="AV25" s="402">
        <f>IF(Données!$H$8="x",AW25,AX25)</f>
        <v>4.4333333333333318</v>
      </c>
      <c r="AW25" s="402">
        <f t="shared" si="1"/>
        <v>2.2166666666666659</v>
      </c>
      <c r="AX25" s="402">
        <f>AX24</f>
        <v>4.4333333333333318</v>
      </c>
      <c r="AY25" s="403" t="str">
        <f t="shared" si="13"/>
        <v>Sa</v>
      </c>
      <c r="AZ25" s="423">
        <f>IF((S39="M6")*AND(S40&lt;&gt;""),VLOOKUP(S40,Échelle!$BS$5:$BT$31,2),)</f>
        <v>0</v>
      </c>
      <c r="BA25" s="424" t="s">
        <v>18</v>
      </c>
      <c r="BB25" s="148"/>
    </row>
    <row r="26" spans="2:54" x14ac:dyDescent="0.2">
      <c r="B26" s="403" t="s">
        <v>186</v>
      </c>
      <c r="C26" s="412" t="s">
        <v>593</v>
      </c>
      <c r="D26" s="411"/>
      <c r="E26" s="411"/>
      <c r="F26" s="401"/>
      <c r="G26" s="401"/>
      <c r="H26" s="401"/>
      <c r="I26" s="401"/>
      <c r="J26" s="406"/>
      <c r="K26" s="406"/>
      <c r="L26" s="407">
        <f>(G26-F26)+(I26-H26)+(K26-J26)</f>
        <v>0</v>
      </c>
      <c r="M26" s="402">
        <f t="shared" si="14"/>
        <v>1.2666666666666666</v>
      </c>
      <c r="N26" s="407">
        <f>IF(Oct!$H$48="x",AV26+Oct!$N$37,AV26)</f>
        <v>4.4333333333333318</v>
      </c>
      <c r="O26" s="408" t="str">
        <f t="shared" si="2"/>
        <v>-</v>
      </c>
      <c r="P26" s="409">
        <f t="shared" si="3"/>
        <v>3.1666666666666652</v>
      </c>
      <c r="Q26" s="410">
        <f t="shared" si="4"/>
        <v>0</v>
      </c>
      <c r="R26" s="410">
        <f t="shared" si="5"/>
        <v>0</v>
      </c>
      <c r="S26" s="410">
        <f t="shared" si="6"/>
        <v>0</v>
      </c>
      <c r="T26" s="410">
        <f t="shared" si="7"/>
        <v>0</v>
      </c>
      <c r="U26" s="407">
        <f t="shared" si="8"/>
        <v>0</v>
      </c>
      <c r="V26" s="407">
        <f>L26</f>
        <v>0</v>
      </c>
      <c r="W26" s="402">
        <f t="shared" si="9"/>
        <v>0</v>
      </c>
      <c r="X26" s="402">
        <f t="shared" si="10"/>
        <v>0</v>
      </c>
      <c r="Y26" s="411"/>
      <c r="Z26" s="401"/>
      <c r="AA26" s="401"/>
      <c r="AB26" s="420">
        <f t="shared" si="16"/>
        <v>0</v>
      </c>
      <c r="AC26" s="420">
        <f t="shared" si="17"/>
        <v>0</v>
      </c>
      <c r="AD26" s="420">
        <f t="shared" si="18"/>
        <v>0</v>
      </c>
      <c r="AE26" s="420">
        <f t="shared" si="19"/>
        <v>0</v>
      </c>
      <c r="AF26" s="421">
        <f t="shared" si="20"/>
        <v>0</v>
      </c>
      <c r="AG26" s="420">
        <f t="shared" si="21"/>
        <v>0</v>
      </c>
      <c r="AH26" s="421">
        <f t="shared" si="22"/>
        <v>0</v>
      </c>
      <c r="AI26" s="420">
        <f t="shared" si="23"/>
        <v>0</v>
      </c>
      <c r="AJ26" s="422">
        <f>IF((D26&lt;&gt;""),VLOOKUP(D26,Données!$E$36:$H$59,4,FALSE),)</f>
        <v>0</v>
      </c>
      <c r="AK26" s="422">
        <f t="shared" si="27"/>
        <v>0</v>
      </c>
      <c r="AL26" s="423">
        <f t="shared" si="28"/>
        <v>0</v>
      </c>
      <c r="AM26" s="424">
        <f t="shared" si="29"/>
        <v>0</v>
      </c>
      <c r="AN26" s="425">
        <f t="shared" si="24"/>
        <v>0</v>
      </c>
      <c r="AO26" s="422">
        <f t="shared" si="25"/>
        <v>0</v>
      </c>
      <c r="AP26" s="426">
        <f t="shared" si="30"/>
        <v>0</v>
      </c>
      <c r="AQ26" s="426">
        <f t="shared" si="31"/>
        <v>0</v>
      </c>
      <c r="AR26" s="426">
        <f t="shared" si="32"/>
        <v>0</v>
      </c>
      <c r="AS26" s="426">
        <f t="shared" si="33"/>
        <v>0</v>
      </c>
      <c r="AT26" s="424">
        <f t="shared" si="11"/>
        <v>0</v>
      </c>
      <c r="AU26" s="424">
        <f t="shared" si="12"/>
        <v>0</v>
      </c>
      <c r="AV26" s="402">
        <f>IF(Données!$H$8="x",AW26,AX26)</f>
        <v>4.4333333333333318</v>
      </c>
      <c r="AW26" s="402">
        <f t="shared" si="1"/>
        <v>2.2166666666666659</v>
      </c>
      <c r="AX26" s="402">
        <f>AX25</f>
        <v>4.4333333333333318</v>
      </c>
      <c r="AY26" s="403" t="str">
        <f t="shared" si="13"/>
        <v>Di</v>
      </c>
      <c r="AZ26" s="423">
        <f>IF((S39="M7")*AND(S40&lt;&gt;""),VLOOKUP(S40,Échelle!$BV$5:$BW$31,2),)</f>
        <v>0</v>
      </c>
      <c r="BA26" s="424" t="s">
        <v>19</v>
      </c>
      <c r="BB26" s="148"/>
    </row>
    <row r="27" spans="2:54" x14ac:dyDescent="0.2">
      <c r="B27" s="467" t="s">
        <v>188</v>
      </c>
      <c r="C27" s="468" t="s">
        <v>594</v>
      </c>
      <c r="D27" s="469"/>
      <c r="E27" s="469"/>
      <c r="F27" s="470"/>
      <c r="G27" s="470"/>
      <c r="H27" s="470"/>
      <c r="I27" s="470"/>
      <c r="J27" s="487"/>
      <c r="K27" s="487"/>
      <c r="L27" s="488">
        <f t="shared" si="0"/>
        <v>0</v>
      </c>
      <c r="M27" s="471">
        <f t="shared" si="14"/>
        <v>1.2666666666666666</v>
      </c>
      <c r="N27" s="488">
        <f>IF(Oct!$H$48="x",AV27+Oct!$N$37,AV27)</f>
        <v>4.7499999999999982</v>
      </c>
      <c r="O27" s="483" t="str">
        <f t="shared" si="2"/>
        <v>-</v>
      </c>
      <c r="P27" s="489">
        <f t="shared" si="3"/>
        <v>3.4833333333333316</v>
      </c>
      <c r="Q27" s="474">
        <f t="shared" si="4"/>
        <v>0</v>
      </c>
      <c r="R27" s="474">
        <f t="shared" si="5"/>
        <v>0</v>
      </c>
      <c r="S27" s="474">
        <f t="shared" si="6"/>
        <v>0</v>
      </c>
      <c r="T27" s="474">
        <f t="shared" si="7"/>
        <v>0</v>
      </c>
      <c r="U27" s="488">
        <f t="shared" si="8"/>
        <v>0</v>
      </c>
      <c r="V27" s="488">
        <f t="shared" ref="V27:V36" si="38">IF(D27="F",L27,0)</f>
        <v>0</v>
      </c>
      <c r="W27" s="471">
        <f t="shared" si="9"/>
        <v>0</v>
      </c>
      <c r="X27" s="471">
        <f t="shared" si="10"/>
        <v>0</v>
      </c>
      <c r="Y27" s="469"/>
      <c r="Z27" s="470"/>
      <c r="AA27" s="470"/>
      <c r="AB27" s="475">
        <f t="shared" si="16"/>
        <v>0</v>
      </c>
      <c r="AC27" s="475">
        <f t="shared" si="17"/>
        <v>0</v>
      </c>
      <c r="AD27" s="475">
        <f t="shared" si="18"/>
        <v>0</v>
      </c>
      <c r="AE27" s="475">
        <f t="shared" si="19"/>
        <v>0</v>
      </c>
      <c r="AF27" s="476">
        <f t="shared" si="20"/>
        <v>0</v>
      </c>
      <c r="AG27" s="475">
        <f t="shared" si="21"/>
        <v>0</v>
      </c>
      <c r="AH27" s="476">
        <f t="shared" si="22"/>
        <v>0</v>
      </c>
      <c r="AI27" s="475">
        <f t="shared" si="23"/>
        <v>0</v>
      </c>
      <c r="AJ27" s="477">
        <f>IF((D27&lt;&gt;""),VLOOKUP(D27,Données!$E$36:$H$59,4,FALSE),)</f>
        <v>0</v>
      </c>
      <c r="AK27" s="477">
        <f t="shared" si="27"/>
        <v>0</v>
      </c>
      <c r="AL27" s="478">
        <f t="shared" si="28"/>
        <v>0</v>
      </c>
      <c r="AM27" s="479">
        <f t="shared" si="29"/>
        <v>0</v>
      </c>
      <c r="AN27" s="480">
        <f t="shared" si="24"/>
        <v>0</v>
      </c>
      <c r="AO27" s="477">
        <f t="shared" si="25"/>
        <v>0</v>
      </c>
      <c r="AP27" s="481">
        <f t="shared" si="30"/>
        <v>0</v>
      </c>
      <c r="AQ27" s="481">
        <f t="shared" si="31"/>
        <v>0</v>
      </c>
      <c r="AR27" s="481">
        <f t="shared" si="32"/>
        <v>0</v>
      </c>
      <c r="AS27" s="481">
        <f t="shared" si="33"/>
        <v>0</v>
      </c>
      <c r="AT27" s="479">
        <f t="shared" si="11"/>
        <v>0</v>
      </c>
      <c r="AU27" s="479">
        <f t="shared" si="12"/>
        <v>0</v>
      </c>
      <c r="AV27" s="471">
        <f>IF(Données!$H$8="x",AW27,AX27)</f>
        <v>4.7499999999999982</v>
      </c>
      <c r="AW27" s="471">
        <f t="shared" si="1"/>
        <v>2.3749999999999991</v>
      </c>
      <c r="AX27" s="471">
        <f t="shared" ref="AX27:AX36" si="39">IF(D27="L",AX26,(AX26+"07:36"))</f>
        <v>4.7499999999999982</v>
      </c>
      <c r="AY27" s="467" t="str">
        <f t="shared" si="13"/>
        <v>Lu</v>
      </c>
      <c r="AZ27" s="7">
        <f>IF((S39="M7bis")*AND(S40&lt;&gt;""),VLOOKUP(S40,Échelle!$BY$5:$BZ$31,2),)</f>
        <v>0</v>
      </c>
      <c r="BA27" s="4" t="s">
        <v>20</v>
      </c>
      <c r="BB27" s="148"/>
    </row>
    <row r="28" spans="2:54" x14ac:dyDescent="0.2">
      <c r="B28" s="467" t="s">
        <v>176</v>
      </c>
      <c r="C28" s="468" t="s">
        <v>595</v>
      </c>
      <c r="D28" s="469"/>
      <c r="E28" s="469"/>
      <c r="F28" s="470"/>
      <c r="G28" s="470"/>
      <c r="H28" s="470"/>
      <c r="I28" s="470"/>
      <c r="J28" s="487"/>
      <c r="K28" s="487"/>
      <c r="L28" s="488">
        <f t="shared" si="0"/>
        <v>0</v>
      </c>
      <c r="M28" s="471">
        <f t="shared" si="14"/>
        <v>1.2666666666666666</v>
      </c>
      <c r="N28" s="488">
        <f>IF(Oct!$H$48="x",AV28+Oct!$N$37,AV28)</f>
        <v>5.0666666666666647</v>
      </c>
      <c r="O28" s="483" t="str">
        <f t="shared" si="2"/>
        <v>-</v>
      </c>
      <c r="P28" s="489">
        <f t="shared" si="3"/>
        <v>3.799999999999998</v>
      </c>
      <c r="Q28" s="474">
        <f t="shared" si="4"/>
        <v>0</v>
      </c>
      <c r="R28" s="474">
        <f t="shared" si="5"/>
        <v>0</v>
      </c>
      <c r="S28" s="474">
        <f t="shared" si="6"/>
        <v>0</v>
      </c>
      <c r="T28" s="474">
        <f t="shared" si="7"/>
        <v>0</v>
      </c>
      <c r="U28" s="488">
        <f t="shared" si="8"/>
        <v>0</v>
      </c>
      <c r="V28" s="488">
        <f t="shared" si="38"/>
        <v>0</v>
      </c>
      <c r="W28" s="471">
        <f t="shared" si="9"/>
        <v>0</v>
      </c>
      <c r="X28" s="471">
        <f t="shared" si="10"/>
        <v>0</v>
      </c>
      <c r="Y28" s="469"/>
      <c r="Z28" s="470"/>
      <c r="AA28" s="470"/>
      <c r="AB28" s="475">
        <f t="shared" si="16"/>
        <v>0</v>
      </c>
      <c r="AC28" s="475">
        <f t="shared" si="17"/>
        <v>0</v>
      </c>
      <c r="AD28" s="475">
        <f t="shared" si="18"/>
        <v>0</v>
      </c>
      <c r="AE28" s="475">
        <f t="shared" si="19"/>
        <v>0</v>
      </c>
      <c r="AF28" s="476">
        <f t="shared" si="20"/>
        <v>0</v>
      </c>
      <c r="AG28" s="475">
        <f t="shared" si="21"/>
        <v>0</v>
      </c>
      <c r="AH28" s="476">
        <f t="shared" si="22"/>
        <v>0</v>
      </c>
      <c r="AI28" s="475">
        <f t="shared" si="23"/>
        <v>0</v>
      </c>
      <c r="AJ28" s="477">
        <f>IF((D28&lt;&gt;""),VLOOKUP(D28,Données!$E$36:$H$59,4,FALSE),)</f>
        <v>0</v>
      </c>
      <c r="AK28" s="477">
        <f t="shared" si="27"/>
        <v>0</v>
      </c>
      <c r="AL28" s="478">
        <f t="shared" si="28"/>
        <v>0</v>
      </c>
      <c r="AM28" s="479">
        <f t="shared" si="29"/>
        <v>0</v>
      </c>
      <c r="AN28" s="480">
        <f t="shared" si="24"/>
        <v>0</v>
      </c>
      <c r="AO28" s="477">
        <f t="shared" si="25"/>
        <v>0</v>
      </c>
      <c r="AP28" s="481">
        <f t="shared" si="30"/>
        <v>0</v>
      </c>
      <c r="AQ28" s="481">
        <f t="shared" si="31"/>
        <v>0</v>
      </c>
      <c r="AR28" s="481">
        <f t="shared" si="32"/>
        <v>0</v>
      </c>
      <c r="AS28" s="481">
        <f t="shared" si="33"/>
        <v>0</v>
      </c>
      <c r="AT28" s="479">
        <f t="shared" si="11"/>
        <v>0</v>
      </c>
      <c r="AU28" s="479">
        <f t="shared" si="12"/>
        <v>0</v>
      </c>
      <c r="AV28" s="471">
        <f>IF(Données!$H$8="x",AW28,AX28)</f>
        <v>5.0666666666666647</v>
      </c>
      <c r="AW28" s="471">
        <f t="shared" si="1"/>
        <v>2.5333333333333323</v>
      </c>
      <c r="AX28" s="471">
        <f t="shared" si="39"/>
        <v>5.0666666666666647</v>
      </c>
      <c r="AY28" s="467" t="str">
        <f t="shared" si="13"/>
        <v>Ma</v>
      </c>
      <c r="AZ28" s="7">
        <f>IF((S39="O1")*AND(S40&lt;&gt;""),VLOOKUP(S40,Échelle!$Q$39:$R$65,2),)</f>
        <v>0</v>
      </c>
      <c r="BA28" s="4" t="s">
        <v>22</v>
      </c>
      <c r="BB28" s="148"/>
    </row>
    <row r="29" spans="2:54" x14ac:dyDescent="0.2">
      <c r="B29" s="467" t="s">
        <v>178</v>
      </c>
      <c r="C29" s="468" t="s">
        <v>596</v>
      </c>
      <c r="D29" s="469"/>
      <c r="E29" s="469"/>
      <c r="F29" s="470"/>
      <c r="G29" s="470"/>
      <c r="H29" s="470"/>
      <c r="I29" s="470"/>
      <c r="J29" s="487"/>
      <c r="K29" s="487"/>
      <c r="L29" s="488">
        <f t="shared" si="0"/>
        <v>0</v>
      </c>
      <c r="M29" s="471">
        <f t="shared" si="14"/>
        <v>1.2666666666666666</v>
      </c>
      <c r="N29" s="488">
        <f>IF(Oct!$H$48="x",AV29+Oct!$N$37,AV29)</f>
        <v>5.3833333333333311</v>
      </c>
      <c r="O29" s="483" t="str">
        <f t="shared" si="2"/>
        <v>-</v>
      </c>
      <c r="P29" s="489">
        <f t="shared" si="3"/>
        <v>4.1166666666666645</v>
      </c>
      <c r="Q29" s="474">
        <f t="shared" si="4"/>
        <v>0</v>
      </c>
      <c r="R29" s="474">
        <f t="shared" si="5"/>
        <v>0</v>
      </c>
      <c r="S29" s="474">
        <f t="shared" si="6"/>
        <v>0</v>
      </c>
      <c r="T29" s="474">
        <f t="shared" si="7"/>
        <v>0</v>
      </c>
      <c r="U29" s="488">
        <f t="shared" si="8"/>
        <v>0</v>
      </c>
      <c r="V29" s="488">
        <f t="shared" si="38"/>
        <v>0</v>
      </c>
      <c r="W29" s="471">
        <f t="shared" si="9"/>
        <v>0</v>
      </c>
      <c r="X29" s="471">
        <f t="shared" si="10"/>
        <v>0</v>
      </c>
      <c r="Y29" s="469"/>
      <c r="Z29" s="470"/>
      <c r="AA29" s="470"/>
      <c r="AB29" s="475">
        <f t="shared" si="16"/>
        <v>0</v>
      </c>
      <c r="AC29" s="475">
        <f t="shared" si="17"/>
        <v>0</v>
      </c>
      <c r="AD29" s="475">
        <f t="shared" si="18"/>
        <v>0</v>
      </c>
      <c r="AE29" s="475">
        <f t="shared" si="19"/>
        <v>0</v>
      </c>
      <c r="AF29" s="476">
        <f t="shared" si="20"/>
        <v>0</v>
      </c>
      <c r="AG29" s="475">
        <f t="shared" si="21"/>
        <v>0</v>
      </c>
      <c r="AH29" s="476">
        <f t="shared" si="22"/>
        <v>0</v>
      </c>
      <c r="AI29" s="475">
        <f t="shared" si="23"/>
        <v>0</v>
      </c>
      <c r="AJ29" s="477">
        <f>IF((D29&lt;&gt;""),VLOOKUP(D29,Données!$E$36:$H$59,4,FALSE),)</f>
        <v>0</v>
      </c>
      <c r="AK29" s="477">
        <f t="shared" si="27"/>
        <v>0</v>
      </c>
      <c r="AL29" s="478">
        <f t="shared" si="28"/>
        <v>0</v>
      </c>
      <c r="AM29" s="479">
        <f t="shared" si="29"/>
        <v>0</v>
      </c>
      <c r="AN29" s="480">
        <f t="shared" si="24"/>
        <v>0</v>
      </c>
      <c r="AO29" s="477">
        <f t="shared" si="25"/>
        <v>0</v>
      </c>
      <c r="AP29" s="481">
        <f t="shared" si="30"/>
        <v>0</v>
      </c>
      <c r="AQ29" s="481">
        <f t="shared" si="31"/>
        <v>0</v>
      </c>
      <c r="AR29" s="481">
        <f t="shared" si="32"/>
        <v>0</v>
      </c>
      <c r="AS29" s="481">
        <f t="shared" si="33"/>
        <v>0</v>
      </c>
      <c r="AT29" s="479">
        <f t="shared" si="11"/>
        <v>0</v>
      </c>
      <c r="AU29" s="479">
        <f t="shared" si="12"/>
        <v>0</v>
      </c>
      <c r="AV29" s="471">
        <f>IF(Données!$H$8="x",AW29,AX29)</f>
        <v>5.3833333333333311</v>
      </c>
      <c r="AW29" s="471">
        <f t="shared" si="1"/>
        <v>2.6916666666666655</v>
      </c>
      <c r="AX29" s="471">
        <f t="shared" si="39"/>
        <v>5.3833333333333311</v>
      </c>
      <c r="AY29" s="467" t="str">
        <f t="shared" si="13"/>
        <v>Me</v>
      </c>
      <c r="AZ29" s="7">
        <f>IF((S39="O2")*AND(S40&lt;&gt;""),VLOOKUP(S40,Échelle!$T$39:$U$65,2),)</f>
        <v>0</v>
      </c>
      <c r="BA29" s="4" t="s">
        <v>23</v>
      </c>
      <c r="BB29" s="148"/>
    </row>
    <row r="30" spans="2:54" x14ac:dyDescent="0.2">
      <c r="B30" s="467" t="s">
        <v>180</v>
      </c>
      <c r="C30" s="468" t="s">
        <v>597</v>
      </c>
      <c r="D30" s="469"/>
      <c r="E30" s="469"/>
      <c r="F30" s="470"/>
      <c r="G30" s="470"/>
      <c r="H30" s="470"/>
      <c r="I30" s="470"/>
      <c r="J30" s="487"/>
      <c r="K30" s="487"/>
      <c r="L30" s="488">
        <f t="shared" si="0"/>
        <v>0</v>
      </c>
      <c r="M30" s="471">
        <f t="shared" si="14"/>
        <v>1.2666666666666666</v>
      </c>
      <c r="N30" s="488">
        <f>IF(Oct!$H$48="x",AV30+Oct!$N$37,AV30)</f>
        <v>5.6999999999999975</v>
      </c>
      <c r="O30" s="483" t="str">
        <f t="shared" si="2"/>
        <v>-</v>
      </c>
      <c r="P30" s="489">
        <f t="shared" si="3"/>
        <v>4.4333333333333309</v>
      </c>
      <c r="Q30" s="474">
        <f t="shared" si="4"/>
        <v>0</v>
      </c>
      <c r="R30" s="474">
        <f t="shared" si="5"/>
        <v>0</v>
      </c>
      <c r="S30" s="474">
        <f t="shared" si="6"/>
        <v>0</v>
      </c>
      <c r="T30" s="474">
        <f t="shared" si="7"/>
        <v>0</v>
      </c>
      <c r="U30" s="488">
        <f t="shared" si="8"/>
        <v>0</v>
      </c>
      <c r="V30" s="488">
        <f t="shared" si="38"/>
        <v>0</v>
      </c>
      <c r="W30" s="471">
        <f t="shared" si="9"/>
        <v>0</v>
      </c>
      <c r="X30" s="471">
        <f t="shared" si="10"/>
        <v>0</v>
      </c>
      <c r="Y30" s="469"/>
      <c r="Z30" s="470"/>
      <c r="AA30" s="470"/>
      <c r="AB30" s="475">
        <f t="shared" si="16"/>
        <v>0</v>
      </c>
      <c r="AC30" s="475">
        <f t="shared" si="17"/>
        <v>0</v>
      </c>
      <c r="AD30" s="475">
        <f t="shared" si="18"/>
        <v>0</v>
      </c>
      <c r="AE30" s="475">
        <f t="shared" si="19"/>
        <v>0</v>
      </c>
      <c r="AF30" s="476">
        <f t="shared" si="20"/>
        <v>0</v>
      </c>
      <c r="AG30" s="475">
        <f t="shared" si="21"/>
        <v>0</v>
      </c>
      <c r="AH30" s="476">
        <f t="shared" si="22"/>
        <v>0</v>
      </c>
      <c r="AI30" s="475">
        <f t="shared" si="23"/>
        <v>0</v>
      </c>
      <c r="AJ30" s="477">
        <f>IF((D30&lt;&gt;""),VLOOKUP(D30,Données!$E$36:$H$59,4,FALSE),)</f>
        <v>0</v>
      </c>
      <c r="AK30" s="477">
        <f t="shared" si="27"/>
        <v>0</v>
      </c>
      <c r="AL30" s="478">
        <f t="shared" si="28"/>
        <v>0</v>
      </c>
      <c r="AM30" s="479">
        <f t="shared" si="29"/>
        <v>0</v>
      </c>
      <c r="AN30" s="480">
        <f t="shared" si="24"/>
        <v>0</v>
      </c>
      <c r="AO30" s="477">
        <f t="shared" si="25"/>
        <v>0</v>
      </c>
      <c r="AP30" s="481">
        <f t="shared" si="30"/>
        <v>0</v>
      </c>
      <c r="AQ30" s="481">
        <f t="shared" si="31"/>
        <v>0</v>
      </c>
      <c r="AR30" s="481">
        <f t="shared" si="32"/>
        <v>0</v>
      </c>
      <c r="AS30" s="481">
        <f t="shared" si="33"/>
        <v>0</v>
      </c>
      <c r="AT30" s="479">
        <f t="shared" si="11"/>
        <v>0</v>
      </c>
      <c r="AU30" s="479">
        <f t="shared" si="12"/>
        <v>0</v>
      </c>
      <c r="AV30" s="471">
        <f>IF(Données!$H$8="x",AW30,AX30)</f>
        <v>5.6999999999999975</v>
      </c>
      <c r="AW30" s="471">
        <f t="shared" si="1"/>
        <v>2.8499999999999988</v>
      </c>
      <c r="AX30" s="471">
        <f t="shared" si="39"/>
        <v>5.6999999999999975</v>
      </c>
      <c r="AY30" s="467" t="str">
        <f t="shared" si="13"/>
        <v>Je</v>
      </c>
      <c r="AZ30" s="7">
        <f>IF((S39="O2ir")*AND(S40&lt;&gt;""),VLOOKUP(S40,Échelle!$AR$39:$AS$65,2),)</f>
        <v>0</v>
      </c>
      <c r="BA30" s="4" t="s">
        <v>31</v>
      </c>
      <c r="BB30" s="148"/>
    </row>
    <row r="31" spans="2:54" x14ac:dyDescent="0.2">
      <c r="B31" s="467" t="s">
        <v>182</v>
      </c>
      <c r="C31" s="468" t="s">
        <v>598</v>
      </c>
      <c r="D31" s="469"/>
      <c r="E31" s="469"/>
      <c r="F31" s="470"/>
      <c r="G31" s="470"/>
      <c r="H31" s="470"/>
      <c r="I31" s="470"/>
      <c r="J31" s="487"/>
      <c r="K31" s="487"/>
      <c r="L31" s="488">
        <f t="shared" si="0"/>
        <v>0</v>
      </c>
      <c r="M31" s="471">
        <f>M30+L31</f>
        <v>1.2666666666666666</v>
      </c>
      <c r="N31" s="488">
        <f>IF(Oct!$H$48="x",AV31+Oct!$N$37,AV31)</f>
        <v>6.0166666666666639</v>
      </c>
      <c r="O31" s="483" t="str">
        <f t="shared" si="2"/>
        <v>-</v>
      </c>
      <c r="P31" s="489">
        <f t="shared" si="3"/>
        <v>4.7499999999999973</v>
      </c>
      <c r="Q31" s="474">
        <f t="shared" si="4"/>
        <v>0</v>
      </c>
      <c r="R31" s="474">
        <f t="shared" si="5"/>
        <v>0</v>
      </c>
      <c r="S31" s="474">
        <f t="shared" si="6"/>
        <v>0</v>
      </c>
      <c r="T31" s="474">
        <f t="shared" si="7"/>
        <v>0</v>
      </c>
      <c r="U31" s="488">
        <f t="shared" si="8"/>
        <v>0</v>
      </c>
      <c r="V31" s="488">
        <f t="shared" si="38"/>
        <v>0</v>
      </c>
      <c r="W31" s="471">
        <f t="shared" si="9"/>
        <v>0</v>
      </c>
      <c r="X31" s="471">
        <f t="shared" si="10"/>
        <v>0</v>
      </c>
      <c r="Y31" s="469"/>
      <c r="Z31" s="470"/>
      <c r="AA31" s="470"/>
      <c r="AB31" s="475">
        <f t="shared" si="16"/>
        <v>0</v>
      </c>
      <c r="AC31" s="475">
        <f t="shared" si="17"/>
        <v>0</v>
      </c>
      <c r="AD31" s="475">
        <f t="shared" si="18"/>
        <v>0</v>
      </c>
      <c r="AE31" s="475">
        <f t="shared" si="19"/>
        <v>0</v>
      </c>
      <c r="AF31" s="476">
        <f t="shared" si="20"/>
        <v>0</v>
      </c>
      <c r="AG31" s="475">
        <f t="shared" si="21"/>
        <v>0</v>
      </c>
      <c r="AH31" s="476">
        <f t="shared" si="22"/>
        <v>0</v>
      </c>
      <c r="AI31" s="475">
        <f t="shared" si="23"/>
        <v>0</v>
      </c>
      <c r="AJ31" s="477">
        <f>IF((D31&lt;&gt;""),VLOOKUP(D31,Données!$E$36:$H$59,4,FALSE),)</f>
        <v>0</v>
      </c>
      <c r="AK31" s="477">
        <f t="shared" si="27"/>
        <v>0</v>
      </c>
      <c r="AL31" s="478">
        <f t="shared" si="28"/>
        <v>0</v>
      </c>
      <c r="AM31" s="479">
        <f t="shared" si="29"/>
        <v>0</v>
      </c>
      <c r="AN31" s="480">
        <f t="shared" si="24"/>
        <v>0</v>
      </c>
      <c r="AO31" s="477">
        <f t="shared" si="25"/>
        <v>0</v>
      </c>
      <c r="AP31" s="481">
        <f t="shared" si="30"/>
        <v>0</v>
      </c>
      <c r="AQ31" s="481">
        <f t="shared" si="31"/>
        <v>0</v>
      </c>
      <c r="AR31" s="481">
        <f t="shared" si="32"/>
        <v>0</v>
      </c>
      <c r="AS31" s="481">
        <f t="shared" si="33"/>
        <v>0</v>
      </c>
      <c r="AT31" s="479">
        <f t="shared" si="11"/>
        <v>0</v>
      </c>
      <c r="AU31" s="479">
        <f t="shared" si="12"/>
        <v>0</v>
      </c>
      <c r="AV31" s="471">
        <f>IF(Données!$H$8="x",AW31,AX31)</f>
        <v>6.0166666666666639</v>
      </c>
      <c r="AW31" s="471">
        <f t="shared" si="1"/>
        <v>3.008333333333332</v>
      </c>
      <c r="AX31" s="471">
        <f t="shared" si="39"/>
        <v>6.0166666666666639</v>
      </c>
      <c r="AY31" s="467" t="str">
        <f t="shared" si="13"/>
        <v>Ve</v>
      </c>
      <c r="AZ31" s="7">
        <f>IF((S39="O3")*AND(S40&lt;&gt;""),VLOOKUP(S40,Échelle!$W$39:$X$65,2),)</f>
        <v>0</v>
      </c>
      <c r="BA31" s="4" t="s">
        <v>24</v>
      </c>
      <c r="BB31" s="148"/>
    </row>
    <row r="32" spans="2:54" x14ac:dyDescent="0.2">
      <c r="B32" s="403" t="s">
        <v>184</v>
      </c>
      <c r="C32" s="412" t="s">
        <v>599</v>
      </c>
      <c r="D32" s="411"/>
      <c r="E32" s="411"/>
      <c r="F32" s="401"/>
      <c r="G32" s="401"/>
      <c r="H32" s="401"/>
      <c r="I32" s="401"/>
      <c r="J32" s="406"/>
      <c r="K32" s="406"/>
      <c r="L32" s="407">
        <f>(G32-F32)+(I32-H32)+(K32-J32)</f>
        <v>0</v>
      </c>
      <c r="M32" s="402">
        <f>M31+L32</f>
        <v>1.2666666666666666</v>
      </c>
      <c r="N32" s="407">
        <f>IF(Oct!$H$48="x",AV32+Oct!$N$37,AV32)</f>
        <v>6.0166666666666639</v>
      </c>
      <c r="O32" s="408" t="str">
        <f t="shared" si="2"/>
        <v>-</v>
      </c>
      <c r="P32" s="409">
        <f t="shared" si="3"/>
        <v>4.7499999999999973</v>
      </c>
      <c r="Q32" s="410">
        <f t="shared" si="4"/>
        <v>0</v>
      </c>
      <c r="R32" s="410">
        <f t="shared" si="5"/>
        <v>0</v>
      </c>
      <c r="S32" s="410">
        <f t="shared" si="6"/>
        <v>0</v>
      </c>
      <c r="T32" s="410">
        <f t="shared" si="7"/>
        <v>0</v>
      </c>
      <c r="U32" s="407">
        <f t="shared" si="8"/>
        <v>0</v>
      </c>
      <c r="V32" s="407">
        <f>L32</f>
        <v>0</v>
      </c>
      <c r="W32" s="402">
        <f t="shared" si="9"/>
        <v>0</v>
      </c>
      <c r="X32" s="402">
        <f t="shared" si="10"/>
        <v>0</v>
      </c>
      <c r="Y32" s="411"/>
      <c r="Z32" s="401"/>
      <c r="AA32" s="401"/>
      <c r="AB32" s="420">
        <f t="shared" si="16"/>
        <v>0</v>
      </c>
      <c r="AC32" s="420">
        <f t="shared" si="17"/>
        <v>0</v>
      </c>
      <c r="AD32" s="420">
        <f t="shared" si="18"/>
        <v>0</v>
      </c>
      <c r="AE32" s="420">
        <f t="shared" si="19"/>
        <v>0</v>
      </c>
      <c r="AF32" s="421">
        <f t="shared" si="20"/>
        <v>0</v>
      </c>
      <c r="AG32" s="420">
        <f t="shared" si="21"/>
        <v>0</v>
      </c>
      <c r="AH32" s="421">
        <f t="shared" si="22"/>
        <v>0</v>
      </c>
      <c r="AI32" s="420">
        <f t="shared" si="23"/>
        <v>0</v>
      </c>
      <c r="AJ32" s="422">
        <f>IF((D32&lt;&gt;""),VLOOKUP(D32,Données!$E$36:$H$59,4,FALSE),)</f>
        <v>0</v>
      </c>
      <c r="AK32" s="422">
        <f t="shared" si="27"/>
        <v>0</v>
      </c>
      <c r="AL32" s="423">
        <f t="shared" si="28"/>
        <v>0</v>
      </c>
      <c r="AM32" s="424">
        <f t="shared" si="29"/>
        <v>0</v>
      </c>
      <c r="AN32" s="425">
        <f t="shared" si="24"/>
        <v>0</v>
      </c>
      <c r="AO32" s="422">
        <f t="shared" si="25"/>
        <v>0</v>
      </c>
      <c r="AP32" s="426">
        <f t="shared" si="30"/>
        <v>0</v>
      </c>
      <c r="AQ32" s="426">
        <f t="shared" si="31"/>
        <v>0</v>
      </c>
      <c r="AR32" s="426">
        <f t="shared" si="32"/>
        <v>0</v>
      </c>
      <c r="AS32" s="426">
        <f t="shared" si="33"/>
        <v>0</v>
      </c>
      <c r="AT32" s="424">
        <f t="shared" si="11"/>
        <v>0</v>
      </c>
      <c r="AU32" s="424">
        <f t="shared" si="12"/>
        <v>0</v>
      </c>
      <c r="AV32" s="402">
        <f>IF(Données!$H$8="x",AW32,AX32)</f>
        <v>6.0166666666666639</v>
      </c>
      <c r="AW32" s="402">
        <f t="shared" si="1"/>
        <v>3.008333333333332</v>
      </c>
      <c r="AX32" s="402">
        <f>AX31</f>
        <v>6.0166666666666639</v>
      </c>
      <c r="AY32" s="403" t="str">
        <f t="shared" si="13"/>
        <v>Sa</v>
      </c>
      <c r="AZ32" s="423">
        <f>IF((S39="O3ir")*AND(S40&lt;&gt;""),VLOOKUP(S40,Échelle!$AU$39:$AV$65,2),)</f>
        <v>0</v>
      </c>
      <c r="BA32" s="424" t="s">
        <v>32</v>
      </c>
      <c r="BB32" s="148"/>
    </row>
    <row r="33" spans="2:54" x14ac:dyDescent="0.2">
      <c r="B33" s="403" t="s">
        <v>186</v>
      </c>
      <c r="C33" s="412" t="s">
        <v>600</v>
      </c>
      <c r="D33" s="411"/>
      <c r="E33" s="411"/>
      <c r="F33" s="401"/>
      <c r="G33" s="401"/>
      <c r="H33" s="401"/>
      <c r="I33" s="401"/>
      <c r="J33" s="406"/>
      <c r="K33" s="406"/>
      <c r="L33" s="407">
        <f>(G33-F33)+(I33-H33)+(K33-J33)</f>
        <v>0</v>
      </c>
      <c r="M33" s="402">
        <f t="shared" si="14"/>
        <v>1.2666666666666666</v>
      </c>
      <c r="N33" s="407">
        <f>IF(Oct!$H$48="x",AV33+Oct!$N$37,AV33)</f>
        <v>6.0166666666666639</v>
      </c>
      <c r="O33" s="408" t="str">
        <f t="shared" si="2"/>
        <v>-</v>
      </c>
      <c r="P33" s="409">
        <f t="shared" si="3"/>
        <v>4.7499999999999973</v>
      </c>
      <c r="Q33" s="410">
        <f t="shared" si="4"/>
        <v>0</v>
      </c>
      <c r="R33" s="410">
        <f t="shared" si="5"/>
        <v>0</v>
      </c>
      <c r="S33" s="410">
        <f t="shared" si="6"/>
        <v>0</v>
      </c>
      <c r="T33" s="410">
        <f t="shared" si="7"/>
        <v>0</v>
      </c>
      <c r="U33" s="407">
        <f t="shared" si="8"/>
        <v>0</v>
      </c>
      <c r="V33" s="407">
        <f>L33</f>
        <v>0</v>
      </c>
      <c r="W33" s="402">
        <f t="shared" si="9"/>
        <v>0</v>
      </c>
      <c r="X33" s="402">
        <f t="shared" si="10"/>
        <v>0</v>
      </c>
      <c r="Y33" s="411"/>
      <c r="Z33" s="401"/>
      <c r="AA33" s="401"/>
      <c r="AB33" s="420">
        <f t="shared" si="16"/>
        <v>0</v>
      </c>
      <c r="AC33" s="420">
        <f t="shared" si="17"/>
        <v>0</v>
      </c>
      <c r="AD33" s="420">
        <f t="shared" si="18"/>
        <v>0</v>
      </c>
      <c r="AE33" s="420">
        <f t="shared" si="19"/>
        <v>0</v>
      </c>
      <c r="AF33" s="421">
        <f t="shared" si="20"/>
        <v>0</v>
      </c>
      <c r="AG33" s="420">
        <f t="shared" si="21"/>
        <v>0</v>
      </c>
      <c r="AH33" s="421">
        <f t="shared" si="22"/>
        <v>0</v>
      </c>
      <c r="AI33" s="420">
        <f t="shared" si="23"/>
        <v>0</v>
      </c>
      <c r="AJ33" s="422">
        <f>IF((D33&lt;&gt;""),VLOOKUP(D33,Données!$E$36:$H$59,4,FALSE),)</f>
        <v>0</v>
      </c>
      <c r="AK33" s="422">
        <f t="shared" si="27"/>
        <v>0</v>
      </c>
      <c r="AL33" s="423">
        <f t="shared" si="28"/>
        <v>0</v>
      </c>
      <c r="AM33" s="424">
        <f t="shared" si="29"/>
        <v>0</v>
      </c>
      <c r="AN33" s="425">
        <f t="shared" si="24"/>
        <v>0</v>
      </c>
      <c r="AO33" s="422">
        <f t="shared" si="25"/>
        <v>0</v>
      </c>
      <c r="AP33" s="426">
        <f t="shared" si="30"/>
        <v>0</v>
      </c>
      <c r="AQ33" s="426">
        <f t="shared" si="31"/>
        <v>0</v>
      </c>
      <c r="AR33" s="426">
        <f t="shared" si="32"/>
        <v>0</v>
      </c>
      <c r="AS33" s="426">
        <f t="shared" si="33"/>
        <v>0</v>
      </c>
      <c r="AT33" s="424">
        <f t="shared" si="11"/>
        <v>0</v>
      </c>
      <c r="AU33" s="424">
        <f t="shared" si="12"/>
        <v>0</v>
      </c>
      <c r="AV33" s="402">
        <f>IF(Données!$H$8="x",AW33,AX33)</f>
        <v>6.0166666666666639</v>
      </c>
      <c r="AW33" s="402">
        <f t="shared" si="1"/>
        <v>3.008333333333332</v>
      </c>
      <c r="AX33" s="402">
        <f>AX32</f>
        <v>6.0166666666666639</v>
      </c>
      <c r="AY33" s="403" t="str">
        <f t="shared" si="13"/>
        <v>Di</v>
      </c>
      <c r="AZ33" s="423">
        <f>IF((S39="O4")*AND(S40&lt;&gt;""),VLOOKUP(S40,Échelle!$Z$39:$AA$65,2),)</f>
        <v>0</v>
      </c>
      <c r="BA33" s="424" t="s">
        <v>25</v>
      </c>
      <c r="BB33" s="148"/>
    </row>
    <row r="34" spans="2:54" x14ac:dyDescent="0.2">
      <c r="B34" s="467" t="s">
        <v>188</v>
      </c>
      <c r="C34" s="468" t="s">
        <v>601</v>
      </c>
      <c r="D34" s="469"/>
      <c r="E34" s="469"/>
      <c r="F34" s="470"/>
      <c r="G34" s="470"/>
      <c r="H34" s="470"/>
      <c r="I34" s="470"/>
      <c r="J34" s="487"/>
      <c r="K34" s="487"/>
      <c r="L34" s="488">
        <f t="shared" si="0"/>
        <v>0</v>
      </c>
      <c r="M34" s="471">
        <f t="shared" si="14"/>
        <v>1.2666666666666666</v>
      </c>
      <c r="N34" s="488">
        <f>IF(Oct!$H$48="x",AV34+Oct!$N$37,AV34)</f>
        <v>6.3333333333333304</v>
      </c>
      <c r="O34" s="483" t="str">
        <f t="shared" si="2"/>
        <v>-</v>
      </c>
      <c r="P34" s="489">
        <f t="shared" si="3"/>
        <v>5.0666666666666638</v>
      </c>
      <c r="Q34" s="474">
        <f t="shared" si="4"/>
        <v>0</v>
      </c>
      <c r="R34" s="474">
        <f t="shared" si="5"/>
        <v>0</v>
      </c>
      <c r="S34" s="474">
        <f t="shared" si="6"/>
        <v>0</v>
      </c>
      <c r="T34" s="474">
        <f t="shared" si="7"/>
        <v>0</v>
      </c>
      <c r="U34" s="488">
        <f t="shared" si="8"/>
        <v>0</v>
      </c>
      <c r="V34" s="488">
        <f t="shared" si="38"/>
        <v>0</v>
      </c>
      <c r="W34" s="471">
        <f t="shared" si="9"/>
        <v>0</v>
      </c>
      <c r="X34" s="471">
        <f t="shared" si="10"/>
        <v>0</v>
      </c>
      <c r="Y34" s="469"/>
      <c r="Z34" s="470"/>
      <c r="AA34" s="470"/>
      <c r="AB34" s="475">
        <f t="shared" si="16"/>
        <v>0</v>
      </c>
      <c r="AC34" s="475">
        <f t="shared" si="17"/>
        <v>0</v>
      </c>
      <c r="AD34" s="475">
        <f t="shared" si="18"/>
        <v>0</v>
      </c>
      <c r="AE34" s="475">
        <f t="shared" si="19"/>
        <v>0</v>
      </c>
      <c r="AF34" s="476">
        <f t="shared" si="20"/>
        <v>0</v>
      </c>
      <c r="AG34" s="475">
        <f t="shared" si="21"/>
        <v>0</v>
      </c>
      <c r="AH34" s="476">
        <f t="shared" si="22"/>
        <v>0</v>
      </c>
      <c r="AI34" s="475">
        <f t="shared" si="23"/>
        <v>0</v>
      </c>
      <c r="AJ34" s="477">
        <f>IF((D34&lt;&gt;""),VLOOKUP(D34,Données!$E$36:$H$59,4,FALSE),)</f>
        <v>0</v>
      </c>
      <c r="AK34" s="477">
        <f t="shared" si="27"/>
        <v>0</v>
      </c>
      <c r="AL34" s="478">
        <f t="shared" si="28"/>
        <v>0</v>
      </c>
      <c r="AM34" s="479">
        <f t="shared" si="29"/>
        <v>0</v>
      </c>
      <c r="AN34" s="480">
        <f t="shared" si="24"/>
        <v>0</v>
      </c>
      <c r="AO34" s="477">
        <f t="shared" si="25"/>
        <v>0</v>
      </c>
      <c r="AP34" s="481">
        <f t="shared" si="30"/>
        <v>0</v>
      </c>
      <c r="AQ34" s="481">
        <f t="shared" si="31"/>
        <v>0</v>
      </c>
      <c r="AR34" s="481">
        <f t="shared" si="32"/>
        <v>0</v>
      </c>
      <c r="AS34" s="481">
        <f t="shared" si="33"/>
        <v>0</v>
      </c>
      <c r="AT34" s="479">
        <f t="shared" si="11"/>
        <v>0</v>
      </c>
      <c r="AU34" s="479">
        <f t="shared" si="12"/>
        <v>0</v>
      </c>
      <c r="AV34" s="471">
        <f>IF(Données!$H$8="x",AW34,AX34)</f>
        <v>6.3333333333333304</v>
      </c>
      <c r="AW34" s="471">
        <f t="shared" si="1"/>
        <v>3.1666666666666652</v>
      </c>
      <c r="AX34" s="471">
        <f t="shared" si="39"/>
        <v>6.3333333333333304</v>
      </c>
      <c r="AY34" s="467" t="str">
        <f t="shared" si="13"/>
        <v>Lu</v>
      </c>
      <c r="AZ34" s="7">
        <f>IF((S39="O4bis")*AND(S40&lt;&gt;""),VLOOKUP(S40,Échelle!$BG$39:$BH$65,2),)</f>
        <v>0</v>
      </c>
      <c r="BA34" s="4" t="s">
        <v>36</v>
      </c>
      <c r="BB34" s="148"/>
    </row>
    <row r="35" spans="2:54" x14ac:dyDescent="0.2">
      <c r="B35" s="467" t="s">
        <v>176</v>
      </c>
      <c r="C35" s="468" t="s">
        <v>602</v>
      </c>
      <c r="D35" s="469"/>
      <c r="E35" s="469"/>
      <c r="F35" s="470"/>
      <c r="G35" s="470"/>
      <c r="H35" s="470"/>
      <c r="I35" s="470"/>
      <c r="J35" s="487"/>
      <c r="K35" s="487"/>
      <c r="L35" s="488">
        <f t="shared" si="0"/>
        <v>0</v>
      </c>
      <c r="M35" s="471">
        <f t="shared" si="14"/>
        <v>1.2666666666666666</v>
      </c>
      <c r="N35" s="488">
        <f>IF(Oct!$H$48="x",AV35+Oct!$N$37,AV35)</f>
        <v>6.6499999999999968</v>
      </c>
      <c r="O35" s="483" t="str">
        <f t="shared" si="2"/>
        <v>-</v>
      </c>
      <c r="P35" s="489">
        <f t="shared" si="3"/>
        <v>5.3833333333333302</v>
      </c>
      <c r="Q35" s="474">
        <f t="shared" si="4"/>
        <v>0</v>
      </c>
      <c r="R35" s="474">
        <f t="shared" si="5"/>
        <v>0</v>
      </c>
      <c r="S35" s="474">
        <f t="shared" si="6"/>
        <v>0</v>
      </c>
      <c r="T35" s="474">
        <f t="shared" si="7"/>
        <v>0</v>
      </c>
      <c r="U35" s="488">
        <f t="shared" si="8"/>
        <v>0</v>
      </c>
      <c r="V35" s="488">
        <f t="shared" si="38"/>
        <v>0</v>
      </c>
      <c r="W35" s="471">
        <f t="shared" si="9"/>
        <v>0</v>
      </c>
      <c r="X35" s="471">
        <f t="shared" si="10"/>
        <v>0</v>
      </c>
      <c r="Y35" s="469"/>
      <c r="Z35" s="470"/>
      <c r="AA35" s="470"/>
      <c r="AB35" s="475">
        <f t="shared" si="16"/>
        <v>0</v>
      </c>
      <c r="AC35" s="475">
        <f t="shared" si="17"/>
        <v>0</v>
      </c>
      <c r="AD35" s="475">
        <f t="shared" si="18"/>
        <v>0</v>
      </c>
      <c r="AE35" s="475">
        <f t="shared" si="19"/>
        <v>0</v>
      </c>
      <c r="AF35" s="476">
        <f t="shared" si="20"/>
        <v>0</v>
      </c>
      <c r="AG35" s="475">
        <f t="shared" si="21"/>
        <v>0</v>
      </c>
      <c r="AH35" s="476">
        <f t="shared" si="22"/>
        <v>0</v>
      </c>
      <c r="AI35" s="475">
        <f t="shared" si="23"/>
        <v>0</v>
      </c>
      <c r="AJ35" s="477">
        <f>IF((D35&lt;&gt;""),VLOOKUP(D35,Données!$E$36:$H$59,4,FALSE),)</f>
        <v>0</v>
      </c>
      <c r="AK35" s="477">
        <f t="shared" si="27"/>
        <v>0</v>
      </c>
      <c r="AL35" s="478">
        <f t="shared" si="28"/>
        <v>0</v>
      </c>
      <c r="AM35" s="479">
        <f t="shared" si="29"/>
        <v>0</v>
      </c>
      <c r="AN35" s="480">
        <f t="shared" si="24"/>
        <v>0</v>
      </c>
      <c r="AO35" s="477">
        <f t="shared" si="25"/>
        <v>0</v>
      </c>
      <c r="AP35" s="481">
        <f t="shared" si="30"/>
        <v>0</v>
      </c>
      <c r="AQ35" s="481">
        <f t="shared" si="31"/>
        <v>0</v>
      </c>
      <c r="AR35" s="481">
        <f t="shared" si="32"/>
        <v>0</v>
      </c>
      <c r="AS35" s="481">
        <f t="shared" si="33"/>
        <v>0</v>
      </c>
      <c r="AT35" s="479">
        <f t="shared" si="11"/>
        <v>0</v>
      </c>
      <c r="AU35" s="479">
        <f t="shared" si="12"/>
        <v>0</v>
      </c>
      <c r="AV35" s="471">
        <f>IF(Données!$H$8="x",AW35,AX35)</f>
        <v>6.6499999999999968</v>
      </c>
      <c r="AW35" s="471">
        <f t="shared" si="1"/>
        <v>3.3249999999999984</v>
      </c>
      <c r="AX35" s="471">
        <f t="shared" si="39"/>
        <v>6.6499999999999968</v>
      </c>
      <c r="AY35" s="467" t="str">
        <f t="shared" si="13"/>
        <v>Ma</v>
      </c>
      <c r="AZ35" s="7">
        <f>IF((S39="O4bis-ir")*AND(S40&lt;&gt;""),VLOOKUP(S40,Échelle!$AO$39:$AP$65,2),)</f>
        <v>0</v>
      </c>
      <c r="BA35" s="4" t="s">
        <v>30</v>
      </c>
      <c r="BB35" s="148"/>
    </row>
    <row r="36" spans="2:54" x14ac:dyDescent="0.2">
      <c r="B36" s="467" t="s">
        <v>178</v>
      </c>
      <c r="C36" s="468" t="s">
        <v>603</v>
      </c>
      <c r="D36" s="469"/>
      <c r="E36" s="469"/>
      <c r="F36" s="470"/>
      <c r="G36" s="470"/>
      <c r="H36" s="470"/>
      <c r="I36" s="470"/>
      <c r="J36" s="487"/>
      <c r="K36" s="487"/>
      <c r="L36" s="488">
        <f t="shared" si="0"/>
        <v>0</v>
      </c>
      <c r="M36" s="471">
        <f t="shared" si="14"/>
        <v>1.2666666666666666</v>
      </c>
      <c r="N36" s="488">
        <f>IF(Oct!$H$48="x",AV36+Oct!$N$37,AV36)</f>
        <v>6.9666666666666632</v>
      </c>
      <c r="O36" s="483" t="str">
        <f t="shared" si="2"/>
        <v>-</v>
      </c>
      <c r="P36" s="489">
        <f t="shared" si="3"/>
        <v>5.6999999999999966</v>
      </c>
      <c r="Q36" s="474">
        <f t="shared" si="4"/>
        <v>0</v>
      </c>
      <c r="R36" s="474">
        <f t="shared" si="5"/>
        <v>0</v>
      </c>
      <c r="S36" s="474">
        <f t="shared" si="6"/>
        <v>0</v>
      </c>
      <c r="T36" s="474">
        <f t="shared" si="7"/>
        <v>0</v>
      </c>
      <c r="U36" s="488">
        <f t="shared" si="8"/>
        <v>0</v>
      </c>
      <c r="V36" s="488">
        <f t="shared" si="38"/>
        <v>0</v>
      </c>
      <c r="W36" s="471">
        <f t="shared" si="9"/>
        <v>0</v>
      </c>
      <c r="X36" s="471">
        <f t="shared" si="10"/>
        <v>0</v>
      </c>
      <c r="Y36" s="469"/>
      <c r="Z36" s="470"/>
      <c r="AA36" s="470"/>
      <c r="AB36" s="475">
        <f t="shared" si="16"/>
        <v>0</v>
      </c>
      <c r="AC36" s="475">
        <f t="shared" si="17"/>
        <v>0</v>
      </c>
      <c r="AD36" s="475">
        <f t="shared" si="18"/>
        <v>0</v>
      </c>
      <c r="AE36" s="475">
        <f t="shared" si="19"/>
        <v>0</v>
      </c>
      <c r="AF36" s="476">
        <f t="shared" si="20"/>
        <v>0</v>
      </c>
      <c r="AG36" s="475">
        <f t="shared" si="21"/>
        <v>0</v>
      </c>
      <c r="AH36" s="476">
        <f t="shared" si="22"/>
        <v>0</v>
      </c>
      <c r="AI36" s="475">
        <f t="shared" si="23"/>
        <v>0</v>
      </c>
      <c r="AJ36" s="477">
        <f>IF((D36&lt;&gt;""),VLOOKUP(D36,Données!$E$36:$H$59,4,FALSE),)</f>
        <v>0</v>
      </c>
      <c r="AK36" s="477">
        <f t="shared" si="27"/>
        <v>0</v>
      </c>
      <c r="AL36" s="478">
        <f t="shared" si="28"/>
        <v>0</v>
      </c>
      <c r="AM36" s="479">
        <f t="shared" si="29"/>
        <v>0</v>
      </c>
      <c r="AN36" s="480">
        <f t="shared" si="24"/>
        <v>0</v>
      </c>
      <c r="AO36" s="477">
        <f t="shared" si="25"/>
        <v>0</v>
      </c>
      <c r="AP36" s="481">
        <f t="shared" si="30"/>
        <v>0</v>
      </c>
      <c r="AQ36" s="481">
        <f t="shared" si="31"/>
        <v>0</v>
      </c>
      <c r="AR36" s="481">
        <f t="shared" si="32"/>
        <v>0</v>
      </c>
      <c r="AS36" s="481">
        <f t="shared" si="33"/>
        <v>0</v>
      </c>
      <c r="AT36" s="479">
        <f t="shared" si="11"/>
        <v>0</v>
      </c>
      <c r="AU36" s="479">
        <f t="shared" si="12"/>
        <v>0</v>
      </c>
      <c r="AV36" s="471">
        <f>IF(Données!$H$8="x",AW36,AX36)</f>
        <v>6.9666666666666632</v>
      </c>
      <c r="AW36" s="471">
        <f t="shared" si="1"/>
        <v>3.4833333333333316</v>
      </c>
      <c r="AX36" s="471">
        <f t="shared" si="39"/>
        <v>6.9666666666666632</v>
      </c>
      <c r="AY36" s="467" t="str">
        <f t="shared" si="13"/>
        <v>Me</v>
      </c>
      <c r="AZ36" s="7">
        <f>IF((S39="O4ir")*AND(S40&lt;&gt;""),VLOOKUP(S40,Échelle!$AX$39:$AY$65,2),)</f>
        <v>0</v>
      </c>
      <c r="BA36" s="4" t="s">
        <v>33</v>
      </c>
      <c r="BB36" s="148"/>
    </row>
    <row r="37" spans="2:54" x14ac:dyDescent="0.2">
      <c r="AB37" s="200">
        <f t="shared" ref="AB37:AI37" si="40">SUM(AB7:AB36)</f>
        <v>0</v>
      </c>
      <c r="AC37" s="200">
        <f t="shared" si="40"/>
        <v>0</v>
      </c>
      <c r="AD37" s="200">
        <f t="shared" si="40"/>
        <v>0</v>
      </c>
      <c r="AE37" s="200">
        <f t="shared" si="40"/>
        <v>0</v>
      </c>
      <c r="AF37" s="200">
        <f t="shared" si="40"/>
        <v>0</v>
      </c>
      <c r="AG37" s="200">
        <f t="shared" si="40"/>
        <v>0</v>
      </c>
      <c r="AH37" s="200">
        <f t="shared" si="40"/>
        <v>0</v>
      </c>
      <c r="AI37" s="200">
        <f t="shared" si="40"/>
        <v>0</v>
      </c>
      <c r="AK37" s="200">
        <f>SUM(AK7:AK36)</f>
        <v>0</v>
      </c>
      <c r="AM37" s="4">
        <f>SUM(AM7:AM36)+AT37</f>
        <v>0</v>
      </c>
      <c r="AN37" s="39"/>
      <c r="AO37" s="7"/>
      <c r="AP37" s="4">
        <f>SUM(AP7:AP36)</f>
        <v>0</v>
      </c>
      <c r="AQ37" s="4">
        <f>SUM(AQ7:AQ36)</f>
        <v>0</v>
      </c>
      <c r="AR37" s="4">
        <f>SUM(AR7:AR36)</f>
        <v>0</v>
      </c>
      <c r="AS37" s="4">
        <f>SUM(AS7:AS36)</f>
        <v>0</v>
      </c>
      <c r="AT37" s="4">
        <f>SUM(AT7:AT36)</f>
        <v>0</v>
      </c>
      <c r="AU37" s="4">
        <f>SUM(AU7:AU36)+AT37</f>
        <v>0</v>
      </c>
      <c r="AV37" s="234"/>
      <c r="AW37" s="234"/>
      <c r="AZ37" s="7">
        <f>IF((S39="O5")*AND(S40&lt;&gt;""),VLOOKUP(S40,Échelle!$AC$39:$AD$65,2),)</f>
        <v>0</v>
      </c>
      <c r="BA37" s="4" t="s">
        <v>26</v>
      </c>
      <c r="BB37" s="4"/>
    </row>
    <row r="38" spans="2:54" x14ac:dyDescent="0.2">
      <c r="C38" s="35" t="s">
        <v>99</v>
      </c>
      <c r="D38" s="61"/>
      <c r="E38" s="61"/>
      <c r="F38" s="35"/>
      <c r="G38" s="35"/>
      <c r="H38" s="35"/>
      <c r="W38" s="361" t="s">
        <v>215</v>
      </c>
      <c r="X38" s="362"/>
      <c r="Z38" s="211" t="s">
        <v>216</v>
      </c>
      <c r="AA38" s="387" t="s">
        <v>217</v>
      </c>
      <c r="AB38" s="200">
        <f t="shared" ref="AB38:AI38" si="41">IF((MINUTE(AB37)&gt;=30),(AB37+0.041666667),AB37)</f>
        <v>0</v>
      </c>
      <c r="AC38" s="200">
        <f t="shared" si="41"/>
        <v>0</v>
      </c>
      <c r="AD38" s="200">
        <f t="shared" si="41"/>
        <v>0</v>
      </c>
      <c r="AE38" s="200">
        <f t="shared" si="41"/>
        <v>0</v>
      </c>
      <c r="AF38" s="200">
        <f t="shared" si="41"/>
        <v>0</v>
      </c>
      <c r="AG38" s="200">
        <f t="shared" si="41"/>
        <v>0</v>
      </c>
      <c r="AH38" s="200">
        <f t="shared" si="41"/>
        <v>0</v>
      </c>
      <c r="AI38" s="200">
        <f t="shared" si="41"/>
        <v>0</v>
      </c>
      <c r="AK38" s="200">
        <f>IF((MINUTE(AK37)&gt;=30),(AK37+0.041666667),AK37)</f>
        <v>0</v>
      </c>
      <c r="AM38" s="97">
        <f>AM37*(6.7*AA39)</f>
        <v>0</v>
      </c>
      <c r="AN38" s="39">
        <f>SUM(AN6:AN36)</f>
        <v>0</v>
      </c>
      <c r="AO38" s="7"/>
      <c r="AP38" s="4"/>
      <c r="AQ38" s="4"/>
      <c r="AR38" s="4"/>
      <c r="AS38" s="4"/>
      <c r="AW38" s="28"/>
      <c r="AZ38" s="7">
        <f>IF((S39="O5ir")*AND(S40&lt;&gt;""),VLOOKUP(S40,Échelle!$BA$39:$BB$65,2),)</f>
        <v>0</v>
      </c>
      <c r="BA38" s="4" t="s">
        <v>34</v>
      </c>
      <c r="BB38" s="4"/>
    </row>
    <row r="39" spans="2:54" x14ac:dyDescent="0.2">
      <c r="C39" s="62" t="s">
        <v>218</v>
      </c>
      <c r="D39" s="63"/>
      <c r="E39" s="63"/>
      <c r="F39" s="65"/>
      <c r="G39" s="64"/>
      <c r="H39" s="41">
        <f>Oct!$H$45</f>
        <v>33</v>
      </c>
      <c r="J39" s="12" t="s">
        <v>604</v>
      </c>
      <c r="K39" s="13"/>
      <c r="L39" s="14"/>
      <c r="M39" s="13"/>
      <c r="N39" s="22"/>
      <c r="O39" s="13"/>
      <c r="P39" s="14"/>
      <c r="Q39" s="14"/>
      <c r="R39" s="24"/>
      <c r="S39" s="161" t="s">
        <v>16</v>
      </c>
      <c r="T39" s="359" t="s">
        <v>220</v>
      </c>
      <c r="U39" s="360"/>
      <c r="V39" s="360"/>
      <c r="W39" s="268">
        <v>1</v>
      </c>
      <c r="X39" s="267" t="s">
        <v>221</v>
      </c>
      <c r="Z39" s="214">
        <v>1.7758</v>
      </c>
      <c r="AA39" s="388">
        <f>Z39</f>
        <v>1.7758</v>
      </c>
      <c r="AB39" s="200">
        <f t="shared" ref="AB39:AI39" si="42">IF(MINUTE(AB38)&gt;0,FLOOR(AB38,0.041666667),AB38)</f>
        <v>0</v>
      </c>
      <c r="AC39" s="200">
        <f t="shared" si="42"/>
        <v>0</v>
      </c>
      <c r="AD39" s="200">
        <f t="shared" si="42"/>
        <v>0</v>
      </c>
      <c r="AE39" s="200">
        <f t="shared" si="42"/>
        <v>0</v>
      </c>
      <c r="AF39" s="200">
        <f t="shared" si="42"/>
        <v>0</v>
      </c>
      <c r="AG39" s="200">
        <f t="shared" si="42"/>
        <v>0</v>
      </c>
      <c r="AH39" s="200">
        <f t="shared" si="42"/>
        <v>0</v>
      </c>
      <c r="AI39" s="200">
        <f t="shared" si="42"/>
        <v>0</v>
      </c>
      <c r="AK39" s="222">
        <f>IF(MINUTE(AK38)&gt;0,FLOOR(AK38,0.041666667),AK38)</f>
        <v>0</v>
      </c>
      <c r="AL39" s="4"/>
      <c r="AM39" s="4"/>
      <c r="AO39" s="4"/>
      <c r="AP39" s="4"/>
      <c r="AQ39" s="4"/>
      <c r="AR39" s="4"/>
      <c r="AS39" s="4"/>
      <c r="AT39" s="4"/>
      <c r="AU39" s="4"/>
      <c r="AW39" s="28"/>
      <c r="AZ39" s="7">
        <f>IF((S39="O6")*AND(S40&lt;&gt;""),VLOOKUP(S40,Échelle!$AF$39:$AG$65,2),)</f>
        <v>0</v>
      </c>
      <c r="BA39" s="4" t="s">
        <v>27</v>
      </c>
      <c r="BB39" s="4"/>
    </row>
    <row r="40" spans="2:54" ht="13.5" thickBot="1" x14ac:dyDescent="0.25">
      <c r="C40" s="62" t="s">
        <v>222</v>
      </c>
      <c r="D40" s="63"/>
      <c r="E40" s="63"/>
      <c r="F40" s="65"/>
      <c r="G40" s="64"/>
      <c r="H40" s="118">
        <v>0</v>
      </c>
      <c r="J40" s="15" t="s">
        <v>605</v>
      </c>
      <c r="K40" s="16"/>
      <c r="L40" s="17"/>
      <c r="M40" s="16"/>
      <c r="N40" s="16"/>
      <c r="O40" s="16"/>
      <c r="P40" s="17"/>
      <c r="Q40" s="17"/>
      <c r="R40" s="25"/>
      <c r="S40" s="162">
        <v>27</v>
      </c>
      <c r="T40" s="363">
        <f>AZ44</f>
        <v>33577</v>
      </c>
      <c r="U40" s="364"/>
      <c r="V40" s="365"/>
      <c r="W40" s="317">
        <v>21822</v>
      </c>
      <c r="X40" s="317">
        <v>21498.68</v>
      </c>
      <c r="Z40" s="47"/>
      <c r="AA40" s="47"/>
      <c r="AF40" s="7"/>
      <c r="AG40" s="123"/>
      <c r="AH40" s="13" t="s">
        <v>229</v>
      </c>
      <c r="AI40" s="13"/>
      <c r="AJ40" s="124"/>
      <c r="AK40" s="13" t="s">
        <v>231</v>
      </c>
      <c r="AL40" s="13"/>
      <c r="AM40" s="22"/>
      <c r="AN40" s="124"/>
      <c r="AP40" s="4"/>
      <c r="AQ40" s="4"/>
      <c r="AR40" s="4"/>
      <c r="AS40" s="4"/>
      <c r="AT40" s="4"/>
      <c r="AU40" s="4"/>
      <c r="AZ40" s="7">
        <f>IF((S39="O6ir")*AND(S40&lt;&gt;""),VLOOKUP(S40,Échelle!$BD$39:$BE$65,2),)</f>
        <v>0</v>
      </c>
      <c r="BA40" s="4" t="s">
        <v>35</v>
      </c>
      <c r="BB40" s="4"/>
    </row>
    <row r="41" spans="2:54" ht="13.5" thickTop="1" x14ac:dyDescent="0.2">
      <c r="C41" s="62" t="s">
        <v>224</v>
      </c>
      <c r="D41" s="228"/>
      <c r="E41" s="228"/>
      <c r="F41" s="144"/>
      <c r="G41" s="144"/>
      <c r="H41" s="115">
        <f>AN38</f>
        <v>0</v>
      </c>
      <c r="I41" s="45"/>
      <c r="J41" s="18" t="s">
        <v>225</v>
      </c>
      <c r="K41" s="4"/>
      <c r="L41" s="98"/>
      <c r="M41" s="223">
        <f>AK39</f>
        <v>0</v>
      </c>
      <c r="N41" s="35" t="s">
        <v>226</v>
      </c>
      <c r="O41" s="75"/>
      <c r="P41" s="47"/>
      <c r="Q41" s="47"/>
      <c r="R41" s="47"/>
      <c r="S41" s="114"/>
      <c r="T41" s="116"/>
      <c r="U41" s="158">
        <f>IF(X3="x",(M41*AK42/0.041666667),0)</f>
        <v>0</v>
      </c>
      <c r="V41" s="26" t="s">
        <v>227</v>
      </c>
      <c r="W41" s="160">
        <f>IF(Z3="x",(M41*AH42/0.041666667),0)</f>
        <v>0</v>
      </c>
      <c r="X41" s="26" t="s">
        <v>227</v>
      </c>
      <c r="Z41" s="216" t="s">
        <v>228</v>
      </c>
      <c r="AA41" s="217"/>
      <c r="AF41" s="97"/>
      <c r="AG41" s="281"/>
      <c r="AH41" s="21">
        <f>X40*1.2434/1850</f>
        <v>14.449437141621623</v>
      </c>
      <c r="AI41" s="21"/>
      <c r="AJ41" s="48"/>
      <c r="AK41" s="21">
        <f>T40*AA39/1850</f>
        <v>32.230290054054052</v>
      </c>
      <c r="AL41" s="21" t="s">
        <v>230</v>
      </c>
      <c r="AM41" s="46"/>
      <c r="AN41" s="48"/>
      <c r="AP41" s="4"/>
      <c r="AQ41" s="4"/>
      <c r="AR41" s="4"/>
      <c r="AS41" s="4"/>
      <c r="AT41" s="4"/>
      <c r="AU41" s="4"/>
      <c r="AZ41" s="7">
        <f>IF((S39="O7")*AND(S40&lt;&gt;""),VLOOKUP(S40,Échelle!$AI$39:$AJ$65,2),)</f>
        <v>0</v>
      </c>
      <c r="BA41" s="4" t="s">
        <v>28</v>
      </c>
      <c r="BB41" s="2"/>
    </row>
    <row r="42" spans="2:54" x14ac:dyDescent="0.2">
      <c r="C42" s="62" t="s">
        <v>232</v>
      </c>
      <c r="D42" s="63"/>
      <c r="E42" s="63"/>
      <c r="F42" s="65"/>
      <c r="G42" s="303" t="s">
        <v>233</v>
      </c>
      <c r="H42" s="41">
        <f>AB42+(AB43/2)+(AB44/2)</f>
        <v>0</v>
      </c>
      <c r="J42" s="18" t="s">
        <v>234</v>
      </c>
      <c r="K42" s="4"/>
      <c r="L42" s="47"/>
      <c r="M42" s="224">
        <f>IF(Z3="x",AD39,)</f>
        <v>0</v>
      </c>
      <c r="N42" s="35" t="s">
        <v>226</v>
      </c>
      <c r="O42" s="75"/>
      <c r="P42" s="47"/>
      <c r="Q42" s="47"/>
      <c r="R42" s="47"/>
      <c r="S42" s="18"/>
      <c r="T42" s="103"/>
      <c r="U42" s="158"/>
      <c r="V42" s="26"/>
      <c r="W42" s="160">
        <f>IF(Z3="x",(M42*AH50/0.041666667),0)</f>
        <v>0</v>
      </c>
      <c r="X42" s="26"/>
      <c r="Z42" s="218" t="s">
        <v>235</v>
      </c>
      <c r="AA42" s="219"/>
      <c r="AB42" s="4">
        <f>COUNTIF(AL7:AL36,"1")</f>
        <v>0</v>
      </c>
      <c r="AE42" s="4">
        <f>M45*78</f>
        <v>0</v>
      </c>
      <c r="AG42" s="282" t="s">
        <v>155</v>
      </c>
      <c r="AH42" s="21">
        <f>AH41*0.9645*AK48/100*1.45</f>
        <v>9.3966730714961653</v>
      </c>
      <c r="AI42" s="21"/>
      <c r="AJ42" s="48"/>
      <c r="AK42" s="213">
        <f>(AK41*0.9645)*AK48/100</f>
        <v>14.455043362067839</v>
      </c>
      <c r="AL42" s="20" t="s">
        <v>236</v>
      </c>
      <c r="AM42" s="54"/>
      <c r="AN42" s="55"/>
      <c r="AP42" s="4"/>
      <c r="AQ42" s="4"/>
      <c r="AR42" s="4"/>
      <c r="AS42" s="4"/>
      <c r="AT42" s="4"/>
      <c r="AU42" s="4"/>
      <c r="AZ42" s="7">
        <f>IF((S39="O8")*AND(S40&lt;&gt;""),VLOOKUP(S40,Échelle!$AL$39:$AM$68,2),)</f>
        <v>0</v>
      </c>
      <c r="BA42" s="4" t="s">
        <v>29</v>
      </c>
      <c r="BB42" s="2"/>
    </row>
    <row r="43" spans="2:54" x14ac:dyDescent="0.2">
      <c r="C43" s="304"/>
      <c r="D43" s="66"/>
      <c r="E43" s="66"/>
      <c r="F43" s="67"/>
      <c r="G43" s="68"/>
      <c r="H43" s="73"/>
      <c r="J43" s="18" t="s">
        <v>238</v>
      </c>
      <c r="K43" s="21"/>
      <c r="L43" s="21"/>
      <c r="M43" s="224">
        <f>IF(X3="x",AF39,)</f>
        <v>0</v>
      </c>
      <c r="N43" s="35" t="s">
        <v>226</v>
      </c>
      <c r="O43" s="21"/>
      <c r="P43" s="21"/>
      <c r="Q43" s="21"/>
      <c r="R43" s="21"/>
      <c r="S43" s="18"/>
      <c r="T43" s="103"/>
      <c r="U43" s="158">
        <f>IF(X3="x",(M43*AK50/0.041666667),0)</f>
        <v>0</v>
      </c>
      <c r="V43" s="26" t="s">
        <v>227</v>
      </c>
      <c r="W43" s="160"/>
      <c r="X43" s="26" t="s">
        <v>227</v>
      </c>
      <c r="Z43" s="221">
        <f>AK47</f>
        <v>53.5</v>
      </c>
      <c r="AA43" s="220"/>
      <c r="AB43" s="4">
        <f>COUNTIF(AL7:AL36,"2")</f>
        <v>0</v>
      </c>
      <c r="AE43" s="4">
        <f>M46*23</f>
        <v>0</v>
      </c>
      <c r="AG43" s="19" t="s">
        <v>239</v>
      </c>
      <c r="AH43" s="197">
        <f>(W40*1.2434/1850)*0.009645*AK48</f>
        <v>6.5779242955345953</v>
      </c>
      <c r="AI43" s="197"/>
      <c r="AJ43" s="55"/>
      <c r="AK43" s="4">
        <v>1.24</v>
      </c>
      <c r="AL43" s="4" t="s">
        <v>240</v>
      </c>
      <c r="AP43" s="4"/>
      <c r="AQ43" s="4"/>
      <c r="AR43" s="4"/>
      <c r="AS43" s="4"/>
      <c r="AT43" s="4"/>
      <c r="AU43" s="4"/>
      <c r="AZ43" s="7">
        <f>IF((S39=Échelle!CB3)*AND(S40&lt;&gt;""),VLOOKUP(S40,Échelle!$CB$5:$CC$38,2),)</f>
        <v>0</v>
      </c>
      <c r="BA43" s="4" t="s">
        <v>237</v>
      </c>
      <c r="BB43" s="2"/>
    </row>
    <row r="44" spans="2:54" x14ac:dyDescent="0.2">
      <c r="C44" s="69" t="s">
        <v>241</v>
      </c>
      <c r="D44" s="70"/>
      <c r="E44" s="70"/>
      <c r="F44" s="71"/>
      <c r="G44" s="72"/>
      <c r="H44" s="74">
        <f>H39-H42+H40+H41</f>
        <v>33</v>
      </c>
      <c r="J44" s="18" t="s">
        <v>242</v>
      </c>
      <c r="K44" s="21"/>
      <c r="L44" s="21"/>
      <c r="M44" s="224">
        <f>IF(X3="x",AG39,)</f>
        <v>0</v>
      </c>
      <c r="N44" s="35" t="s">
        <v>226</v>
      </c>
      <c r="O44" s="21"/>
      <c r="P44" s="21"/>
      <c r="Q44" s="21"/>
      <c r="R44" s="21"/>
      <c r="S44" s="18"/>
      <c r="T44" s="103"/>
      <c r="U44" s="158">
        <f>IF(X3="x",(M44*AK51/0.041666667),0)</f>
        <v>0</v>
      </c>
      <c r="V44" s="26" t="s">
        <v>227</v>
      </c>
      <c r="W44" s="160"/>
      <c r="X44" s="26" t="s">
        <v>227</v>
      </c>
      <c r="Y44" s="47"/>
      <c r="Z44" s="47"/>
      <c r="AA44" s="47"/>
      <c r="AB44" s="4">
        <f>COUNTIF(AL7:AL36,"7")</f>
        <v>0</v>
      </c>
      <c r="AG44" s="4"/>
      <c r="AH44" s="4"/>
      <c r="AI44" s="4"/>
      <c r="AK44" s="4">
        <v>2.48</v>
      </c>
      <c r="AL44" s="4" t="s">
        <v>169</v>
      </c>
      <c r="AZ44" s="4">
        <f>SUM(AZ7:AZ43)</f>
        <v>33577</v>
      </c>
      <c r="BB44" s="2"/>
    </row>
    <row r="45" spans="2:54" x14ac:dyDescent="0.2">
      <c r="J45" s="18" t="s">
        <v>243</v>
      </c>
      <c r="K45" s="4"/>
      <c r="L45" s="47"/>
      <c r="M45" s="100">
        <f>COUNTIF(Q7:Q36,"1")</f>
        <v>0</v>
      </c>
      <c r="N45" s="18" t="s">
        <v>244</v>
      </c>
      <c r="O45" s="4"/>
      <c r="P45" s="47"/>
      <c r="Q45" s="47"/>
      <c r="R45" s="47">
        <f>COUNTIF(Q7:Q36,"2")</f>
        <v>0</v>
      </c>
      <c r="S45" s="18"/>
      <c r="T45" s="103"/>
      <c r="U45" s="158">
        <f>IF(X3="x",(M45*AK44*AA39+(R45*AA39*6.2)),0)</f>
        <v>0</v>
      </c>
      <c r="V45" s="26" t="s">
        <v>227</v>
      </c>
      <c r="W45" s="158">
        <f>IF(Z3="x",(M45*AK44*AA39+(R45*AA39*6.2)),0)</f>
        <v>0</v>
      </c>
      <c r="X45" s="26" t="s">
        <v>227</v>
      </c>
      <c r="Y45" s="47"/>
      <c r="Z45" s="47"/>
      <c r="AA45" s="47"/>
      <c r="AB45" s="4" t="s">
        <v>375</v>
      </c>
      <c r="AC45" s="4"/>
      <c r="AF45" s="4">
        <f>M55*23</f>
        <v>0</v>
      </c>
      <c r="AG45" s="4"/>
      <c r="AH45" s="4"/>
      <c r="AI45" s="4"/>
      <c r="AK45" s="4">
        <v>2.48</v>
      </c>
      <c r="AL45" s="4" t="s">
        <v>170</v>
      </c>
      <c r="BB45" s="2"/>
    </row>
    <row r="46" spans="2:54" x14ac:dyDescent="0.2">
      <c r="C46" s="35" t="s">
        <v>306</v>
      </c>
      <c r="F46" s="4"/>
      <c r="G46" s="109" t="s">
        <v>307</v>
      </c>
      <c r="H46" s="109" t="s">
        <v>308</v>
      </c>
      <c r="J46" s="18" t="s">
        <v>249</v>
      </c>
      <c r="K46" s="21"/>
      <c r="L46" s="47"/>
      <c r="M46" s="100">
        <f>COUNTIF(R7:R36,"1")</f>
        <v>0</v>
      </c>
      <c r="N46" s="18" t="s">
        <v>250</v>
      </c>
      <c r="O46" s="21"/>
      <c r="P46" s="47"/>
      <c r="Q46" s="47"/>
      <c r="R46" s="47">
        <f>COUNTIF(R7:R36,"2")</f>
        <v>0</v>
      </c>
      <c r="S46" s="18"/>
      <c r="T46" s="103"/>
      <c r="U46" s="158">
        <f>IF(X3="x",(M46*AK45*AA39+(R46*AA39*6.2)),0)</f>
        <v>0</v>
      </c>
      <c r="V46" s="26" t="s">
        <v>227</v>
      </c>
      <c r="W46" s="158">
        <f>IF(Z3="x",(M46*AK45*AA39+(R46*AA39*6.2)),0)</f>
        <v>0</v>
      </c>
      <c r="X46" s="26" t="s">
        <v>227</v>
      </c>
      <c r="Y46" s="47"/>
      <c r="Z46" s="47"/>
      <c r="AA46" s="47"/>
      <c r="AB46" s="7">
        <f>IF((M36-N36-U4)&gt;0,(M36-N36-U4-G54),)</f>
        <v>0</v>
      </c>
      <c r="AC46" s="7">
        <f>IF((MINUTE(AB46)&gt;=30),(0.041666667),)</f>
        <v>0</v>
      </c>
      <c r="AD46" s="7">
        <f>AB46+AC46</f>
        <v>0</v>
      </c>
      <c r="AE46" s="7">
        <f>AD46</f>
        <v>0</v>
      </c>
      <c r="AG46" s="4"/>
      <c r="AH46" s="4"/>
      <c r="AI46" s="4"/>
      <c r="AK46" s="4">
        <v>1.74</v>
      </c>
      <c r="AL46" s="4" t="s">
        <v>251</v>
      </c>
      <c r="BB46" s="2"/>
    </row>
    <row r="47" spans="2:54" x14ac:dyDescent="0.2">
      <c r="C47" s="35" t="s">
        <v>252</v>
      </c>
      <c r="G47" s="127"/>
      <c r="H47" s="127" t="s">
        <v>117</v>
      </c>
      <c r="J47" s="18" t="s">
        <v>253</v>
      </c>
      <c r="K47" s="21"/>
      <c r="L47" s="150"/>
      <c r="M47" s="4">
        <f>COUNTIF(S7:S36,"1")</f>
        <v>0</v>
      </c>
      <c r="N47" s="18" t="s">
        <v>254</v>
      </c>
      <c r="O47" s="4"/>
      <c r="P47" s="4"/>
      <c r="Q47" s="21"/>
      <c r="R47" s="26">
        <f>COUNTIF(S7:S36,"2")</f>
        <v>0</v>
      </c>
      <c r="S47" s="4"/>
      <c r="T47" s="117"/>
      <c r="U47" s="160">
        <f>IF(X3="x",(M47*AK46*AA39+(R47*AA39*3.48)),0)</f>
        <v>0</v>
      </c>
      <c r="V47" s="26" t="s">
        <v>227</v>
      </c>
      <c r="W47" s="158">
        <f>IF(Z3="x",(M47*AK46*AA39+(R47*AA39*3.48)),0)</f>
        <v>0</v>
      </c>
      <c r="X47" s="26" t="s">
        <v>227</v>
      </c>
      <c r="AB47" s="7"/>
      <c r="AC47" s="7"/>
      <c r="AD47" s="7"/>
      <c r="AE47" s="7">
        <f>HOUR(AE46)</f>
        <v>0</v>
      </c>
      <c r="AG47" s="4"/>
      <c r="AH47" s="4"/>
      <c r="AI47" s="4"/>
      <c r="AK47" s="4">
        <f>VLOOKUP(AS47,Données!$F$74:$H$85,3)</f>
        <v>53.5</v>
      </c>
      <c r="AL47" s="4" t="s">
        <v>255</v>
      </c>
      <c r="AP47" s="385">
        <f>T40*Z39</f>
        <v>59626.036599999999</v>
      </c>
      <c r="AQ47" s="2">
        <f>AP47*0.075</f>
        <v>4471.9527449999996</v>
      </c>
      <c r="AR47" s="2">
        <f>AP47*0.0355</f>
        <v>2116.7242993</v>
      </c>
      <c r="AS47" s="225">
        <f>AP47-AQ47-AR47</f>
        <v>53037.359555699994</v>
      </c>
      <c r="BB47" s="2"/>
    </row>
    <row r="48" spans="2:54" x14ac:dyDescent="0.2">
      <c r="J48" s="18" t="s">
        <v>256</v>
      </c>
      <c r="K48" s="21"/>
      <c r="L48" s="150"/>
      <c r="M48" s="4">
        <f>COUNTIF(T7:T36,"1")</f>
        <v>0</v>
      </c>
      <c r="N48" s="18" t="s">
        <v>257</v>
      </c>
      <c r="O48" s="4"/>
      <c r="P48" s="4"/>
      <c r="Q48" s="21"/>
      <c r="R48" s="26">
        <f>COUNTIF(T7:T36,"2")</f>
        <v>0</v>
      </c>
      <c r="S48" s="4"/>
      <c r="T48" s="117"/>
      <c r="U48" s="160">
        <f>IF(X3="x",(M48*AK43*AA39+(R48*AA39*2.48)),0)</f>
        <v>0</v>
      </c>
      <c r="V48" s="26" t="s">
        <v>227</v>
      </c>
      <c r="W48" s="158">
        <f>IF(Z3="x",(M48*AK43*AA39+(R48*AA39*2.48)),0)</f>
        <v>0</v>
      </c>
      <c r="X48" s="26" t="s">
        <v>227</v>
      </c>
      <c r="AB48" s="7">
        <f>HOUR(AD46)*0.041666667</f>
        <v>0</v>
      </c>
      <c r="AD48" s="7"/>
      <c r="AG48" s="4"/>
      <c r="AH48" s="4"/>
      <c r="AI48" s="4"/>
      <c r="AK48" s="97">
        <f>100-AK47</f>
        <v>46.5</v>
      </c>
      <c r="AL48" s="4" t="s">
        <v>258</v>
      </c>
      <c r="BB48" s="2"/>
    </row>
    <row r="49" spans="3:54" x14ac:dyDescent="0.2">
      <c r="C49" s="4" t="s">
        <v>259</v>
      </c>
      <c r="F49" s="4"/>
      <c r="G49" s="4"/>
      <c r="J49" s="18" t="s">
        <v>260</v>
      </c>
      <c r="K49" s="4"/>
      <c r="L49" s="4"/>
      <c r="M49" s="224">
        <f>IF(AND(O36="+",G47="x",AB46&gt;=0),AB50,0)</f>
        <v>0</v>
      </c>
      <c r="N49" s="35" t="s">
        <v>226</v>
      </c>
      <c r="O49" s="75"/>
      <c r="P49" s="47"/>
      <c r="Q49" s="47"/>
      <c r="R49" s="47"/>
      <c r="S49" s="18"/>
      <c r="T49" s="153"/>
      <c r="U49" s="158">
        <f>IF(X3="x",(M49*AK42/0.041666667),0)</f>
        <v>0</v>
      </c>
      <c r="V49" s="26" t="s">
        <v>227</v>
      </c>
      <c r="W49" s="160">
        <f>IF(Z3="x",(M49*AH43/0.041666667),0)</f>
        <v>0</v>
      </c>
      <c r="X49" s="26" t="s">
        <v>227</v>
      </c>
      <c r="AB49" s="7"/>
      <c r="AD49" s="96"/>
      <c r="AG49" s="4"/>
      <c r="AH49" s="4"/>
      <c r="AI49" s="4"/>
      <c r="BB49" s="2"/>
    </row>
    <row r="50" spans="3:54" x14ac:dyDescent="0.2">
      <c r="C50" s="4" t="s">
        <v>261</v>
      </c>
      <c r="F50" s="4"/>
      <c r="G50" s="215">
        <v>0</v>
      </c>
      <c r="J50" s="18" t="s">
        <v>262</v>
      </c>
      <c r="K50" s="21"/>
      <c r="L50" s="21"/>
      <c r="M50" s="177">
        <f>AM37</f>
        <v>0</v>
      </c>
      <c r="N50" s="188" t="s">
        <v>263</v>
      </c>
      <c r="O50" s="153"/>
      <c r="P50" s="47"/>
      <c r="Q50" s="47"/>
      <c r="R50" s="47"/>
      <c r="S50" s="18"/>
      <c r="T50" s="153"/>
      <c r="U50" s="158">
        <f>IF(X3="x",AM38,0)</f>
        <v>0</v>
      </c>
      <c r="V50" s="26" t="s">
        <v>227</v>
      </c>
      <c r="W50" s="160">
        <f>IF(Z3="x",AM38,0)</f>
        <v>0</v>
      </c>
      <c r="X50" s="26" t="s">
        <v>227</v>
      </c>
      <c r="AB50" s="7">
        <f>IF(MINUTE(AB46)&gt;0,FLOOR(AE46,0.041666667),AE46)</f>
        <v>0</v>
      </c>
      <c r="AC50" s="96"/>
      <c r="AD50" s="96"/>
      <c r="AF50" s="7"/>
      <c r="AG50" s="4" t="s">
        <v>161</v>
      </c>
      <c r="AH50" s="4">
        <f>AH41*0.00325*0.9645*AK48</f>
        <v>2.1061508608525887</v>
      </c>
      <c r="AI50" s="4"/>
      <c r="AK50" s="97">
        <f>AK42/100*20</f>
        <v>2.8910086724135677</v>
      </c>
      <c r="AL50" s="4" t="s">
        <v>264</v>
      </c>
      <c r="BB50" s="2"/>
    </row>
    <row r="51" spans="3:54" x14ac:dyDescent="0.2">
      <c r="C51" s="245" t="s">
        <v>265</v>
      </c>
      <c r="J51" s="18" t="s">
        <v>266</v>
      </c>
      <c r="K51" s="47"/>
      <c r="L51" s="46"/>
      <c r="M51" s="100">
        <f>SUM(AA7:AA37)</f>
        <v>0</v>
      </c>
      <c r="N51" s="188" t="s">
        <v>267</v>
      </c>
      <c r="O51" s="21"/>
      <c r="P51" s="21"/>
      <c r="Q51" s="21"/>
      <c r="R51" s="21"/>
      <c r="S51" s="18"/>
      <c r="T51" s="187"/>
      <c r="U51" s="158">
        <f>IF(X3="x",(M51*Données!$T$13),0)</f>
        <v>0</v>
      </c>
      <c r="V51" s="26" t="s">
        <v>227</v>
      </c>
      <c r="W51" s="160">
        <f>IF(Z3="x",M51*0.2,0)</f>
        <v>0</v>
      </c>
      <c r="X51" s="26" t="s">
        <v>227</v>
      </c>
      <c r="AK51" s="97">
        <f>AK42/100*35</f>
        <v>5.0592651767237431</v>
      </c>
      <c r="AL51" s="4" t="s">
        <v>268</v>
      </c>
      <c r="BB51" s="2"/>
    </row>
    <row r="52" spans="3:54" x14ac:dyDescent="0.2">
      <c r="J52" s="18" t="s">
        <v>269</v>
      </c>
      <c r="K52" s="21"/>
      <c r="L52" s="46"/>
      <c r="M52" s="224">
        <f>AH53</f>
        <v>0</v>
      </c>
      <c r="N52" s="35" t="s">
        <v>226</v>
      </c>
      <c r="O52" s="21"/>
      <c r="P52" s="21"/>
      <c r="Q52" s="21"/>
      <c r="R52" s="21"/>
      <c r="S52" s="18"/>
      <c r="T52" s="153"/>
      <c r="U52" s="158">
        <f>IF(X3="x",(M52*AK53/0.041666667),0)</f>
        <v>0</v>
      </c>
      <c r="V52" s="26" t="s">
        <v>227</v>
      </c>
      <c r="W52" s="158">
        <f>IF(Z3="x",(M52*AK53/0.041666667),0)</f>
        <v>0</v>
      </c>
      <c r="X52" s="26" t="s">
        <v>227</v>
      </c>
      <c r="AK52" s="225"/>
      <c r="BB52" s="2"/>
    </row>
    <row r="53" spans="3:54" x14ac:dyDescent="0.2">
      <c r="C53" s="35" t="s">
        <v>270</v>
      </c>
      <c r="J53" s="18" t="s">
        <v>271</v>
      </c>
      <c r="K53" s="21"/>
      <c r="L53" s="46"/>
      <c r="M53" s="224">
        <f>AH54</f>
        <v>0</v>
      </c>
      <c r="N53" s="188" t="s">
        <v>226</v>
      </c>
      <c r="O53" s="21"/>
      <c r="P53" s="21"/>
      <c r="Q53" s="21"/>
      <c r="R53" s="21"/>
      <c r="S53" s="18"/>
      <c r="T53" s="153"/>
      <c r="U53" s="158">
        <f>IF(X3="x",(M53*AK54/0.041666667),0)</f>
        <v>0</v>
      </c>
      <c r="V53" s="26" t="s">
        <v>227</v>
      </c>
      <c r="W53" s="158">
        <f>IF(Z3="x",(M53*AK54/0.041666667),0)</f>
        <v>0</v>
      </c>
      <c r="X53" s="26" t="s">
        <v>227</v>
      </c>
      <c r="AE53" s="285">
        <f>SUM(Y7:Y36)</f>
        <v>0</v>
      </c>
      <c r="AF53" s="196">
        <f>IF(MINUTE(AE53)&gt;=30,AE53+0.041666667,AE53)</f>
        <v>0</v>
      </c>
      <c r="AG53" s="196"/>
      <c r="AH53" s="13">
        <f>IF(MINUTE(AF53)&gt;0,FLOOR(AF53,0.041666667),AF53)</f>
        <v>0</v>
      </c>
      <c r="AI53" s="13"/>
      <c r="AJ53" s="196"/>
      <c r="AK53" s="212">
        <f>AK42/24</f>
        <v>0.60229347341949324</v>
      </c>
      <c r="AL53" s="13" t="s">
        <v>272</v>
      </c>
      <c r="AM53" s="13"/>
      <c r="AN53" s="13"/>
      <c r="AO53" s="13"/>
      <c r="AP53" s="121"/>
      <c r="BB53" s="2"/>
    </row>
    <row r="54" spans="3:54" x14ac:dyDescent="0.2">
      <c r="C54" s="35" t="s">
        <v>261</v>
      </c>
      <c r="G54" s="198">
        <v>0</v>
      </c>
      <c r="J54" s="19" t="s">
        <v>273</v>
      </c>
      <c r="K54" s="20"/>
      <c r="L54" s="20"/>
      <c r="M54" s="318">
        <f>AU37</f>
        <v>0</v>
      </c>
      <c r="N54" s="20" t="s">
        <v>263</v>
      </c>
      <c r="O54" s="20"/>
      <c r="P54" s="20"/>
      <c r="Q54" s="20"/>
      <c r="R54" s="20"/>
      <c r="S54" s="19"/>
      <c r="T54" s="20"/>
      <c r="U54" s="159">
        <f>IF(X3="x",(M54*(2.81*AA39))/100*(100-Z43),0)</f>
        <v>0</v>
      </c>
      <c r="V54" s="27" t="s">
        <v>227</v>
      </c>
      <c r="W54" s="159">
        <f>IF(Z3="x",(M54*(2.81*AA39))/100*(100-Z43),0)</f>
        <v>0</v>
      </c>
      <c r="X54" s="27" t="s">
        <v>227</v>
      </c>
      <c r="AE54" s="286">
        <f>SUM(Z7:Z36)</f>
        <v>0</v>
      </c>
      <c r="AF54" s="197">
        <f>IF(MINUTE(AE54)&gt;=30,AE54+0.041666667,AE54)</f>
        <v>0</v>
      </c>
      <c r="AG54" s="197"/>
      <c r="AH54" s="20">
        <f>IF(MINUTE(AF54)&gt;0,FLOOR(AF54,0.041666667),AF54)</f>
        <v>0</v>
      </c>
      <c r="AI54" s="20"/>
      <c r="AJ54" s="197"/>
      <c r="AK54" s="213">
        <f>AK42/15</f>
        <v>0.96366955747118921</v>
      </c>
      <c r="AL54" s="20" t="s">
        <v>274</v>
      </c>
      <c r="AM54" s="20"/>
      <c r="AN54" s="20"/>
      <c r="AO54" s="20"/>
      <c r="AP54" s="119"/>
      <c r="BB54" s="2"/>
    </row>
    <row r="55" spans="3:54" x14ac:dyDescent="0.2">
      <c r="C55" s="245" t="s">
        <v>265</v>
      </c>
      <c r="E55" s="21"/>
      <c r="F55" s="47"/>
      <c r="G55" s="21"/>
      <c r="L55" s="104" t="s">
        <v>275</v>
      </c>
      <c r="M55" s="104"/>
      <c r="N55" s="19"/>
      <c r="O55" s="105"/>
      <c r="P55" s="99"/>
      <c r="Q55" s="99"/>
      <c r="R55" s="99"/>
      <c r="S55" s="19"/>
      <c r="T55" s="106"/>
      <c r="U55" s="159">
        <f>IF(X3="x",(SUM(U41:U54)),0)</f>
        <v>0</v>
      </c>
      <c r="V55" s="27" t="s">
        <v>227</v>
      </c>
      <c r="W55" s="159">
        <f>IF(Z3="x",(SUM(W41:W54)),0)</f>
        <v>0</v>
      </c>
      <c r="X55" s="27" t="s">
        <v>227</v>
      </c>
      <c r="BB55" s="2"/>
    </row>
    <row r="58" spans="3:54" x14ac:dyDescent="0.2">
      <c r="D58" s="2"/>
      <c r="F58" s="21"/>
      <c r="G58" s="47"/>
      <c r="H58" s="21"/>
      <c r="I58" s="21"/>
      <c r="J58" s="21"/>
      <c r="K58" s="21"/>
      <c r="L58" s="21"/>
      <c r="M58" s="104"/>
      <c r="N58" s="189"/>
      <c r="O58" s="21"/>
      <c r="P58" s="46"/>
      <c r="S58" s="21"/>
      <c r="T58" s="108"/>
      <c r="U58" s="108"/>
      <c r="V58" s="21"/>
      <c r="W58" s="21"/>
      <c r="X58" s="103"/>
      <c r="Y58" s="46"/>
    </row>
    <row r="59" spans="3:54" x14ac:dyDescent="0.2">
      <c r="D59" s="2"/>
      <c r="F59" s="21"/>
      <c r="G59" s="47"/>
      <c r="H59" s="21"/>
      <c r="I59" s="21"/>
      <c r="J59" s="21"/>
      <c r="K59" s="21"/>
      <c r="L59" s="21"/>
      <c r="M59" s="104"/>
      <c r="N59" s="189"/>
      <c r="O59" s="21"/>
      <c r="P59" s="46"/>
      <c r="S59" s="21"/>
      <c r="T59" s="108"/>
      <c r="U59" s="108"/>
      <c r="V59" s="32"/>
      <c r="W59" s="21"/>
      <c r="X59" s="21"/>
      <c r="Y59" s="21"/>
    </row>
  </sheetData>
  <sheetProtection algorithmName="SHA-512" hashValue="XcSjVjloX+RMMZhs1y2wLOaL1d5Ic3iQzjO+CBajBrJFLJMImyDTn1mIBRGw/rGXsZwEBt9NL62TlLHFS0uVTQ==" saltValue="xeJgJGbcaRaTQmVzGPj+Ag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3" orientation="landscape" horizontalDpi="300" verticalDpi="300" r:id="rId1"/>
  <headerFooter alignWithMargins="0"/>
  <ignoredErrors>
    <ignoredError sqref="Q7:T36" unlockedFormula="1"/>
  </ignoredError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4">
    <pageSetUpPr fitToPage="1"/>
  </sheetPr>
  <dimension ref="A1:BB60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9" customWidth="1"/>
    <col min="5" max="5" width="3.7109375" style="29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6" width="5.7109375" style="5" customWidth="1"/>
    <col min="27" max="27" width="5.85546875" style="5" bestFit="1" customWidth="1"/>
    <col min="28" max="28" width="14" style="2" hidden="1" customWidth="1"/>
    <col min="29" max="29" width="5.2851562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3" width="10.42578125" style="2" hidden="1" customWidth="1"/>
    <col min="44" max="44" width="12" style="2" hidden="1" customWidth="1"/>
    <col min="45" max="46" width="10.42578125" style="2" hidden="1" customWidth="1"/>
    <col min="47" max="47" width="4.28515625" style="2" hidden="1" customWidth="1"/>
    <col min="48" max="48" width="7.7109375" style="39" hidden="1" customWidth="1"/>
    <col min="49" max="49" width="6.42578125" style="39" hidden="1" customWidth="1"/>
    <col min="50" max="50" width="5.7109375" style="2" hidden="1" customWidth="1"/>
    <col min="51" max="51" width="3" style="2" hidden="1" customWidth="1"/>
    <col min="52" max="52" width="5.28515625" style="4" hidden="1" customWidth="1"/>
    <col min="53" max="53" width="6.42578125" style="4" hidden="1" customWidth="1"/>
    <col min="54" max="54" width="51.7109375" customWidth="1"/>
    <col min="55" max="55" width="0" hidden="1" customWidth="1"/>
  </cols>
  <sheetData>
    <row r="1" spans="2:54" x14ac:dyDescent="0.2">
      <c r="C1" s="307"/>
      <c r="D1" s="28"/>
      <c r="E1" s="28"/>
      <c r="H1" s="247"/>
      <c r="X1" s="178"/>
      <c r="Y1" s="179"/>
      <c r="Z1" s="179" t="s">
        <v>110</v>
      </c>
      <c r="AA1" s="180"/>
      <c r="AD1" s="96">
        <v>0.29166666666666669</v>
      </c>
      <c r="AQ1" s="39" t="s">
        <v>111</v>
      </c>
      <c r="AR1" s="39" t="s">
        <v>112</v>
      </c>
      <c r="AS1" s="39" t="s">
        <v>113</v>
      </c>
      <c r="AT1" s="39" t="s">
        <v>114</v>
      </c>
      <c r="AU1" s="39"/>
      <c r="BB1" s="2"/>
    </row>
    <row r="2" spans="2:54" x14ac:dyDescent="0.2">
      <c r="C2" s="246"/>
      <c r="D2" s="28"/>
      <c r="E2" s="28"/>
      <c r="M2" s="136"/>
      <c r="N2" s="137"/>
      <c r="O2" s="137"/>
      <c r="P2" s="137"/>
      <c r="Q2" s="137"/>
      <c r="R2" s="137"/>
      <c r="S2" s="137"/>
      <c r="T2" s="137"/>
      <c r="U2" s="138"/>
      <c r="V2" s="139"/>
      <c r="X2" s="181" t="s">
        <v>115</v>
      </c>
      <c r="Y2" s="182"/>
      <c r="Z2" s="182" t="s">
        <v>116</v>
      </c>
      <c r="AA2" s="183"/>
      <c r="AC2" s="112"/>
      <c r="AD2" s="96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0"/>
      <c r="D3" s="28"/>
      <c r="E3" s="28"/>
      <c r="M3" s="140"/>
      <c r="N3" s="141"/>
      <c r="O3" s="141"/>
      <c r="P3" s="141"/>
      <c r="Q3" s="141"/>
      <c r="R3" s="141"/>
      <c r="S3" s="141"/>
      <c r="T3" s="141"/>
      <c r="U3" s="142"/>
      <c r="V3" s="143"/>
      <c r="X3" s="253" t="s">
        <v>117</v>
      </c>
      <c r="Y3" s="184"/>
      <c r="Z3" s="253"/>
      <c r="AA3" s="185"/>
      <c r="AD3" s="96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B4" s="277" t="s">
        <v>694</v>
      </c>
      <c r="C4" s="465" t="str">
        <f>Données!F6</f>
        <v>Memento 2022</v>
      </c>
      <c r="D4" s="28"/>
      <c r="E4" s="28"/>
      <c r="G4" s="4" t="s">
        <v>118</v>
      </c>
      <c r="I4" s="4"/>
      <c r="J4" s="4"/>
      <c r="K4" s="4"/>
      <c r="L4" s="4"/>
      <c r="M4" s="386">
        <f>Nov!$G$54</f>
        <v>0</v>
      </c>
      <c r="P4" s="4" t="s">
        <v>119</v>
      </c>
      <c r="Q4" s="4"/>
      <c r="R4" s="4"/>
      <c r="S4" s="4"/>
      <c r="T4" s="4"/>
      <c r="U4" s="199">
        <f>IF(Nov!$H$47="x",Nov!$U$4,Nov!$G$50)</f>
        <v>0</v>
      </c>
      <c r="AV4" s="84"/>
      <c r="AW4" s="84" t="s">
        <v>120</v>
      </c>
      <c r="AX4" s="113">
        <v>0</v>
      </c>
      <c r="AY4" s="113"/>
      <c r="BB4" s="2"/>
    </row>
    <row r="5" spans="2:54" x14ac:dyDescent="0.2">
      <c r="B5" s="81"/>
      <c r="C5" s="82"/>
      <c r="D5" s="83" t="s">
        <v>122</v>
      </c>
      <c r="E5" s="83" t="s">
        <v>140</v>
      </c>
      <c r="F5" s="90" t="s">
        <v>124</v>
      </c>
      <c r="G5" s="91"/>
      <c r="H5" s="90" t="s">
        <v>124</v>
      </c>
      <c r="I5" s="91"/>
      <c r="J5" s="90" t="s">
        <v>124</v>
      </c>
      <c r="K5" s="91"/>
      <c r="L5" s="90" t="s">
        <v>125</v>
      </c>
      <c r="M5" s="91"/>
      <c r="N5" s="84" t="s">
        <v>126</v>
      </c>
      <c r="O5" s="93" t="s">
        <v>127</v>
      </c>
      <c r="P5" s="92"/>
      <c r="Q5" s="90" t="s">
        <v>128</v>
      </c>
      <c r="R5" s="134"/>
      <c r="S5" s="134"/>
      <c r="T5" s="91"/>
      <c r="U5" s="84" t="s">
        <v>129</v>
      </c>
      <c r="V5" s="84" t="s">
        <v>130</v>
      </c>
      <c r="W5" s="84" t="s">
        <v>129</v>
      </c>
      <c r="X5" s="84" t="s">
        <v>129</v>
      </c>
      <c r="Y5" s="300"/>
      <c r="Z5" s="84" t="s">
        <v>131</v>
      </c>
      <c r="AA5" s="301" t="s">
        <v>132</v>
      </c>
      <c r="AB5" s="8" t="s">
        <v>133</v>
      </c>
      <c r="AC5" s="8" t="s">
        <v>134</v>
      </c>
      <c r="AD5" s="8" t="s">
        <v>135</v>
      </c>
      <c r="AE5" s="8" t="s">
        <v>136</v>
      </c>
      <c r="AF5" s="8" t="s">
        <v>137</v>
      </c>
      <c r="AG5" s="8" t="s">
        <v>137</v>
      </c>
      <c r="AH5" s="8" t="s">
        <v>138</v>
      </c>
      <c r="AI5" s="8" t="s">
        <v>139</v>
      </c>
      <c r="AO5" s="4"/>
      <c r="AT5" s="4" t="s">
        <v>140</v>
      </c>
      <c r="AU5" s="4"/>
      <c r="AV5" s="231" t="s">
        <v>141</v>
      </c>
      <c r="AW5" s="231" t="s">
        <v>142</v>
      </c>
      <c r="AX5" s="84" t="s">
        <v>126</v>
      </c>
      <c r="AY5" s="250"/>
      <c r="BB5" s="4"/>
    </row>
    <row r="6" spans="2:54" x14ac:dyDescent="0.2">
      <c r="B6" s="85" t="s">
        <v>143</v>
      </c>
      <c r="C6" s="86" t="s">
        <v>144</v>
      </c>
      <c r="D6" s="87" t="s">
        <v>44</v>
      </c>
      <c r="E6" s="87" t="s">
        <v>145</v>
      </c>
      <c r="F6" s="86" t="s">
        <v>44</v>
      </c>
      <c r="G6" s="86" t="s">
        <v>45</v>
      </c>
      <c r="H6" s="86" t="s">
        <v>44</v>
      </c>
      <c r="I6" s="86" t="s">
        <v>45</v>
      </c>
      <c r="J6" s="86" t="s">
        <v>44</v>
      </c>
      <c r="K6" s="86" t="s">
        <v>45</v>
      </c>
      <c r="L6" s="86" t="s">
        <v>146</v>
      </c>
      <c r="M6" s="86" t="s">
        <v>147</v>
      </c>
      <c r="N6" s="86" t="s">
        <v>148</v>
      </c>
      <c r="O6" s="94" t="s">
        <v>149</v>
      </c>
      <c r="P6" s="95"/>
      <c r="Q6" s="357" t="s">
        <v>150</v>
      </c>
      <c r="R6" s="357" t="s">
        <v>151</v>
      </c>
      <c r="S6" s="357" t="s">
        <v>152</v>
      </c>
      <c r="T6" s="357" t="s">
        <v>153</v>
      </c>
      <c r="U6" s="176" t="s">
        <v>154</v>
      </c>
      <c r="V6" s="86" t="s">
        <v>155</v>
      </c>
      <c r="W6" s="86" t="s">
        <v>156</v>
      </c>
      <c r="X6" s="195" t="s">
        <v>157</v>
      </c>
      <c r="Y6" s="88" t="s">
        <v>131</v>
      </c>
      <c r="Z6" s="86" t="s">
        <v>158</v>
      </c>
      <c r="AA6" s="302" t="s">
        <v>159</v>
      </c>
      <c r="AB6" s="9" t="s">
        <v>160</v>
      </c>
      <c r="AC6" s="9" t="s">
        <v>160</v>
      </c>
      <c r="AD6" s="9" t="s">
        <v>137</v>
      </c>
      <c r="AE6" s="9" t="s">
        <v>161</v>
      </c>
      <c r="AF6" s="9" t="s">
        <v>156</v>
      </c>
      <c r="AG6" s="278" t="s">
        <v>157</v>
      </c>
      <c r="AH6" s="8" t="s">
        <v>137</v>
      </c>
      <c r="AI6" s="8" t="s">
        <v>162</v>
      </c>
      <c r="AJ6" s="56" t="s">
        <v>163</v>
      </c>
      <c r="AK6" s="11" t="s">
        <v>164</v>
      </c>
      <c r="AL6" s="101" t="s">
        <v>165</v>
      </c>
      <c r="AM6" s="10" t="s">
        <v>166</v>
      </c>
      <c r="AN6" s="10" t="s">
        <v>167</v>
      </c>
      <c r="AO6" s="10"/>
      <c r="AP6" s="11" t="s">
        <v>168</v>
      </c>
      <c r="AQ6" s="11" t="s">
        <v>169</v>
      </c>
      <c r="AR6" s="11" t="s">
        <v>170</v>
      </c>
      <c r="AS6" s="11" t="s">
        <v>171</v>
      </c>
      <c r="AT6" s="10" t="s">
        <v>166</v>
      </c>
      <c r="AU6" s="10" t="s">
        <v>172</v>
      </c>
      <c r="AV6" s="232" t="s">
        <v>173</v>
      </c>
      <c r="AW6" s="232" t="s">
        <v>174</v>
      </c>
      <c r="AX6" s="86" t="s">
        <v>148</v>
      </c>
      <c r="AY6" s="251"/>
      <c r="AZ6" s="11"/>
      <c r="BA6" s="11"/>
      <c r="BB6" s="11" t="s">
        <v>175</v>
      </c>
    </row>
    <row r="7" spans="2:54" x14ac:dyDescent="0.2">
      <c r="B7" s="467" t="s">
        <v>180</v>
      </c>
      <c r="C7" s="485" t="s">
        <v>606</v>
      </c>
      <c r="D7" s="486"/>
      <c r="E7" s="486"/>
      <c r="F7" s="470"/>
      <c r="G7" s="470"/>
      <c r="H7" s="470"/>
      <c r="I7" s="470"/>
      <c r="J7" s="487"/>
      <c r="K7" s="487"/>
      <c r="L7" s="488">
        <f t="shared" ref="L7:L29" si="0">(G7-F7)+(I7-H7)+(K7-J7)+AJ7+AO7</f>
        <v>0</v>
      </c>
      <c r="M7" s="471">
        <f>IF(Nov!H47="x",L7+Nov!M36+M4,L7+M4)</f>
        <v>1.2666666666666666</v>
      </c>
      <c r="N7" s="488">
        <f>IF(Nov!$H$47="x",AV7+Nov!$N$36,AV7)</f>
        <v>7.2833333333333297</v>
      </c>
      <c r="O7" s="483" t="str">
        <f>IF((M7-N7-U$4)&lt;0,"-","+")</f>
        <v>-</v>
      </c>
      <c r="P7" s="489">
        <f>ABS(M7-N7-U$4)</f>
        <v>6.0166666666666631</v>
      </c>
      <c r="Q7" s="474">
        <f>AQ7</f>
        <v>0</v>
      </c>
      <c r="R7" s="474">
        <f>AR7</f>
        <v>0</v>
      </c>
      <c r="S7" s="474">
        <f>AS7</f>
        <v>0</v>
      </c>
      <c r="T7" s="474">
        <f>AP7</f>
        <v>0</v>
      </c>
      <c r="U7" s="488">
        <f>IF($Z$3="x",AD7,)</f>
        <v>0</v>
      </c>
      <c r="V7" s="488">
        <f t="shared" ref="V7:V8" si="1">IF(D7="F",L7,0)</f>
        <v>0</v>
      </c>
      <c r="W7" s="471">
        <f>IF($X$3="x",AF7,)</f>
        <v>0</v>
      </c>
      <c r="X7" s="471">
        <f>IF($X$3="x",AG7,)</f>
        <v>0</v>
      </c>
      <c r="Y7" s="470"/>
      <c r="Z7" s="470"/>
      <c r="AA7" s="469"/>
      <c r="AB7" s="475">
        <f>IF((G7&gt;$AD$3)*AND(F7&lt;=$AD$3),G7-$AD$3,)+IF(F7&gt;$AD$3,G7-F7,)+IF((I7&gt;$AD$3)*AND(H7&lt;=$AD$3),I7-$AD$3,)+IF((H7&gt;$AD$3),I7-H7,)+IF((K7&gt;$AD$3)*AND(J7&lt;=$AD$3),K7-$AD$3,)+IF((J7&gt;$AD$3),K7-J7,)</f>
        <v>0</v>
      </c>
      <c r="AC7" s="475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75">
        <f>AB7+AC7</f>
        <v>0</v>
      </c>
      <c r="AE7" s="475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76">
        <f>AB7-AE7</f>
        <v>0</v>
      </c>
      <c r="AG7" s="475">
        <f>AI7+AE7</f>
        <v>0</v>
      </c>
      <c r="AH7" s="476">
        <f>AD7</f>
        <v>0</v>
      </c>
      <c r="AI7" s="475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77">
        <f>IF((D7&lt;&gt;""),VLOOKUP(D7,Données!$E$36:$H$59,4,FALSE),)</f>
        <v>0</v>
      </c>
      <c r="AK7" s="477">
        <f>IF(V7&gt;0,L7,0)</f>
        <v>0</v>
      </c>
      <c r="AL7" s="478">
        <f>IF(L7&gt;0,D7,0)</f>
        <v>0</v>
      </c>
      <c r="AM7" s="479">
        <f>IF((E7="X")*OR(E7="x"),1,0)</f>
        <v>0</v>
      </c>
      <c r="AN7" s="480">
        <f>IF(D7="F",1,)+IF((D7="JP")*AND(((G7-F7)+(I7-H7)+(K7-J7))&gt;0),1,0)</f>
        <v>0</v>
      </c>
      <c r="AO7" s="477">
        <f>IF((D7="JP")*AND(((G7-F7)+(I7-H7)+(K7-J7))=0),"07:36",0)</f>
        <v>0</v>
      </c>
      <c r="AP7" s="481">
        <f>IF((F7&lt;=$AQ$2)*AND(G7&gt;=$AQ$3),1,)+IF((H7&lt;=$AQ$2)*AND(I7&gt;=$AQ$3),1,)+IF((J7&lt;=$AQ$2)*AND(K7&gt;=$AQ$3),1,)</f>
        <v>0</v>
      </c>
      <c r="AQ7" s="481">
        <f>IF((F7&lt;=$AR$2)*AND(G7&gt;=$AR$3),1,)+IF((H7&lt;=$AR$2)*AND(I7&gt;=$AR$3),1,)+IF((J7&lt;=$AR$2)*AND(K7&gt;=$AR$3),1,)</f>
        <v>0</v>
      </c>
      <c r="AR7" s="481">
        <f>IF((F7&lt;=$AS$2)*AND(G7&gt;=$AS$3),1,)+IF((H7&lt;=$AS$2)*AND(I7&gt;=$AS$3),1,)+IF((J7&lt;=$AS$2)*AND(K7&gt;=$AS$3),1,)</f>
        <v>0</v>
      </c>
      <c r="AS7" s="481">
        <f>IF((F7=$AT$2)*AND(G7&gt;=$AT$3),1,)+IF((H7=$AT$2)*AND(I7&gt;=$AT$3),1,)+IF((J7=$AT$2)*AND(K7&gt;=$AT$3),1,)</f>
        <v>0</v>
      </c>
      <c r="AT7" s="479">
        <f>IF((E7="me")*OR(E7="ME"),1,0)</f>
        <v>0</v>
      </c>
      <c r="AU7" s="479">
        <f>IF((E7="M")*OR(E7="m"),1,0)</f>
        <v>0</v>
      </c>
      <c r="AV7" s="471">
        <f>IF(Données!$H$8="x",AW7,AX7)</f>
        <v>0.31666666666666665</v>
      </c>
      <c r="AW7" s="471">
        <f t="shared" ref="AW7:AW37" si="2">AX7/2</f>
        <v>0.15833333333333333</v>
      </c>
      <c r="AX7" s="471">
        <f>IF(D7="L",AX4,(AX4+"07:36"))</f>
        <v>0.31666666666666665</v>
      </c>
      <c r="AY7" s="467" t="str">
        <f>B7</f>
        <v>Je</v>
      </c>
      <c r="AZ7" s="7">
        <f>IF((S40="HAU1")*AND(S41&lt;&gt;""),VLOOKUP(S41,Échelle!$Q$5:$R$31,2),)</f>
        <v>0</v>
      </c>
      <c r="BA7" s="4" t="s">
        <v>0</v>
      </c>
      <c r="BB7" s="148"/>
    </row>
    <row r="8" spans="2:54" x14ac:dyDescent="0.2">
      <c r="B8" s="467" t="s">
        <v>182</v>
      </c>
      <c r="C8" s="468" t="s">
        <v>607</v>
      </c>
      <c r="D8" s="469"/>
      <c r="E8" s="469"/>
      <c r="F8" s="470"/>
      <c r="G8" s="470"/>
      <c r="H8" s="470"/>
      <c r="I8" s="470"/>
      <c r="J8" s="487"/>
      <c r="K8" s="487"/>
      <c r="L8" s="488">
        <f t="shared" si="0"/>
        <v>0</v>
      </c>
      <c r="M8" s="471">
        <f>M7+L8</f>
        <v>1.2666666666666666</v>
      </c>
      <c r="N8" s="488">
        <f>IF(Nov!$H$47="x",AV8+Nov!$N$36,AV8)</f>
        <v>7.5999999999999961</v>
      </c>
      <c r="O8" s="483" t="str">
        <f t="shared" ref="O8:O37" si="3">IF((M8-N8-U$4)&lt;0,"-","+")</f>
        <v>-</v>
      </c>
      <c r="P8" s="489">
        <f t="shared" ref="P8:P37" si="4">ABS(M8-N8-U$4)</f>
        <v>6.3333333333333295</v>
      </c>
      <c r="Q8" s="474">
        <f t="shared" ref="Q8:Q37" si="5">AQ8</f>
        <v>0</v>
      </c>
      <c r="R8" s="474">
        <f t="shared" ref="R8:R37" si="6">AR8</f>
        <v>0</v>
      </c>
      <c r="S8" s="474">
        <f t="shared" ref="S8:S37" si="7">AS8</f>
        <v>0</v>
      </c>
      <c r="T8" s="474">
        <f t="shared" ref="T8:T37" si="8">AP8</f>
        <v>0</v>
      </c>
      <c r="U8" s="488">
        <f t="shared" ref="U8:U37" si="9">IF($Z$3="x",AD8,)</f>
        <v>0</v>
      </c>
      <c r="V8" s="488">
        <f t="shared" si="1"/>
        <v>0</v>
      </c>
      <c r="W8" s="471">
        <f t="shared" ref="W8:W37" si="10">IF($X$3="x",AF8,)</f>
        <v>0</v>
      </c>
      <c r="X8" s="471">
        <f t="shared" ref="X8:X37" si="11">IF($X$3="x",AG8,)</f>
        <v>0</v>
      </c>
      <c r="Y8" s="470"/>
      <c r="Z8" s="470"/>
      <c r="AA8" s="469"/>
      <c r="AB8" s="475">
        <f>IF((G8&gt;$AD$3)*AND(F8&lt;=$AD$3),G8-$AD$3,)+IF(F8&gt;$AD$3,G8-F8,)+IF((I8&gt;$AD$3)*AND(H8&lt;=$AD$3),I8-$AD$3,)+IF((H8&gt;$AD$3),I8-H8,)+IF((K8&gt;$AD$3)*AND(J8&lt;=$AD$3),K8-$AD$3,)+IF((J8&gt;$AD$3),K8-J8,)</f>
        <v>0</v>
      </c>
      <c r="AC8" s="475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75">
        <f>AB8+AC8</f>
        <v>0</v>
      </c>
      <c r="AE8" s="475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76">
        <f>AB8-AE8</f>
        <v>0</v>
      </c>
      <c r="AG8" s="475">
        <f>AI8+AE8</f>
        <v>0</v>
      </c>
      <c r="AH8" s="476">
        <f>AD8</f>
        <v>0</v>
      </c>
      <c r="AI8" s="475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77">
        <f>IF((D8&lt;&gt;""),VLOOKUP(D8,Données!$E$36:$H$59,4,FALSE),)</f>
        <v>0</v>
      </c>
      <c r="AK8" s="477">
        <f>IF(V8&gt;0,L8,0)</f>
        <v>0</v>
      </c>
      <c r="AL8" s="478">
        <f>IF(L8&gt;0,D8,0)</f>
        <v>0</v>
      </c>
      <c r="AM8" s="479">
        <f t="shared" ref="AM8:AM37" si="12">IF((E8="X")*OR(E8="x"),1,0)</f>
        <v>0</v>
      </c>
      <c r="AN8" s="480">
        <f t="shared" ref="AN8:AN37" si="13">IF(D8="F",1,)+IF((D8="JP")*AND(((G8-F8)+(I8-H8)+(K8-J8))&gt;0),1,0)</f>
        <v>0</v>
      </c>
      <c r="AO8" s="477">
        <f t="shared" ref="AO8:AO37" si="14">IF((D8="JP")*AND(((G8-F8)+(I8-H8)+(K8-J8))=0),"07:36",0)</f>
        <v>0</v>
      </c>
      <c r="AP8" s="481">
        <f>IF((F8&lt;=$AQ$2)*AND(G8&gt;=$AQ$3),1,)+IF((H8&lt;=$AQ$2)*AND(I8&gt;=$AQ$3),1,)+IF((J8&lt;=$AQ$2)*AND(K8&gt;=$AQ$3),1,)</f>
        <v>0</v>
      </c>
      <c r="AQ8" s="481">
        <f>IF((F8&lt;=$AR$2)*AND(G8&gt;=$AR$3),1,)+IF((H8&lt;=$AR$2)*AND(I8&gt;=$AR$3),1,)+IF((J8&lt;=$AR$2)*AND(K8&gt;=$AR$3),1,)</f>
        <v>0</v>
      </c>
      <c r="AR8" s="481">
        <f>IF((F8&lt;=$AS$2)*AND(G8&gt;=$AS$3),1,)+IF((H8&lt;=$AS$2)*AND(I8&gt;=$AS$3),1,)+IF((J8&lt;=$AS$2)*AND(K8&gt;=$AS$3),1,)</f>
        <v>0</v>
      </c>
      <c r="AS8" s="481">
        <f>IF((F8=$AT$2)*AND(G8&gt;=$AT$3),1,)+IF((H8=$AT$2)*AND(I8&gt;=$AT$3),1,)+IF((J8=$AT$2)*AND(K8&gt;=$AT$3),1,)</f>
        <v>0</v>
      </c>
      <c r="AT8" s="479">
        <f t="shared" ref="AT8:AT37" si="15">IF((E8="me")*OR(E8="ME"),1,0)</f>
        <v>0</v>
      </c>
      <c r="AU8" s="479">
        <f t="shared" ref="AU8:AU37" si="16">IF((E8="M")*OR(E8="m"),1,0)</f>
        <v>0</v>
      </c>
      <c r="AV8" s="471">
        <f>IF(Données!$H$8="x",AW8,AX8)</f>
        <v>0.6333333333333333</v>
      </c>
      <c r="AW8" s="471">
        <f t="shared" si="2"/>
        <v>0.31666666666666665</v>
      </c>
      <c r="AX8" s="471">
        <f t="shared" ref="AX8" si="17">IF(D8="L",AX7,(AX7+"07:36"))</f>
        <v>0.6333333333333333</v>
      </c>
      <c r="AY8" s="467" t="str">
        <f t="shared" ref="AY8:AY37" si="18">B8</f>
        <v>Ve</v>
      </c>
      <c r="AZ8" s="7">
        <f>IF((S40="HAU2")*AND(S41&lt;&gt;""),VLOOKUP(S41,Échelle!$T$5:$U$31,2),)</f>
        <v>0</v>
      </c>
      <c r="BA8" s="4" t="s">
        <v>1</v>
      </c>
      <c r="BB8" s="148"/>
    </row>
    <row r="9" spans="2:54" x14ac:dyDescent="0.2">
      <c r="B9" s="403" t="s">
        <v>184</v>
      </c>
      <c r="C9" s="412" t="s">
        <v>608</v>
      </c>
      <c r="D9" s="411"/>
      <c r="E9" s="411"/>
      <c r="F9" s="401"/>
      <c r="G9" s="401"/>
      <c r="H9" s="401"/>
      <c r="I9" s="401"/>
      <c r="J9" s="406"/>
      <c r="K9" s="406"/>
      <c r="L9" s="407">
        <f>(G9-F9)+(I9-H9)+(K9-J9)</f>
        <v>0</v>
      </c>
      <c r="M9" s="402">
        <f>M8+L9</f>
        <v>1.2666666666666666</v>
      </c>
      <c r="N9" s="407">
        <f>IF(Nov!$H$47="x",AV9+Nov!$N$36,AV9)</f>
        <v>7.5999999999999961</v>
      </c>
      <c r="O9" s="408" t="str">
        <f t="shared" si="3"/>
        <v>-</v>
      </c>
      <c r="P9" s="409">
        <f t="shared" si="4"/>
        <v>6.3333333333333295</v>
      </c>
      <c r="Q9" s="410">
        <f t="shared" si="5"/>
        <v>0</v>
      </c>
      <c r="R9" s="410">
        <f t="shared" si="6"/>
        <v>0</v>
      </c>
      <c r="S9" s="410">
        <f t="shared" si="7"/>
        <v>0</v>
      </c>
      <c r="T9" s="410">
        <f t="shared" si="8"/>
        <v>0</v>
      </c>
      <c r="U9" s="407">
        <f t="shared" si="9"/>
        <v>0</v>
      </c>
      <c r="V9" s="407">
        <f>L9</f>
        <v>0</v>
      </c>
      <c r="W9" s="402">
        <f t="shared" si="10"/>
        <v>0</v>
      </c>
      <c r="X9" s="402">
        <f t="shared" si="11"/>
        <v>0</v>
      </c>
      <c r="Y9" s="401"/>
      <c r="Z9" s="401"/>
      <c r="AA9" s="411"/>
      <c r="AB9" s="420">
        <f t="shared" ref="AB9:AB37" si="19">IF((G9&gt;$AD$3)*AND(F9&lt;=$AD$3),G9-$AD$3,)+IF(F9&gt;$AD$3,G9-F9,)+IF((I9&gt;$AD$3)*AND(H9&lt;=$AD$3),I9-$AD$3,)+IF((H9&gt;$AD$3),I9-H9,)+IF((K9&gt;$AD$3)*AND(J9&lt;=$AD$3),K9-$AD$3,)+IF((J9&gt;$AD$3),K9-J9,)</f>
        <v>0</v>
      </c>
      <c r="AC9" s="420">
        <f t="shared" ref="AC9:AC37" si="20">IF((G9&gt;=$AD$1)*AND(F9&lt;$AD$1),($AD$1)-F9,)+IF((G9&lt;$AD$1),G9-F9,)+IF((I9&gt;=$AD$1)*AND(H9&lt;$AD$1),($AD$1)-H9,)+IF((I9&lt;$AD$1),I9-H9,)+IF((K9&gt;=$AD$1)*AND(J9&lt;$AD$1),($AD$1)-J9,)+IF((K9&lt;$AD$1),K9-J9,)</f>
        <v>0</v>
      </c>
      <c r="AD9" s="420">
        <f t="shared" ref="AD9:AD37" si="21">AB9+AC9</f>
        <v>0</v>
      </c>
      <c r="AE9" s="420">
        <f t="shared" ref="AE9:AE37" si="22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21">
        <f t="shared" ref="AF9:AF37" si="23">AB9-AE9</f>
        <v>0</v>
      </c>
      <c r="AG9" s="420">
        <f t="shared" ref="AG9:AG37" si="24">AI9+AE9</f>
        <v>0</v>
      </c>
      <c r="AH9" s="421">
        <f t="shared" ref="AH9:AH37" si="25">AD9</f>
        <v>0</v>
      </c>
      <c r="AI9" s="420">
        <f t="shared" ref="AI9:AI37" si="26">IF((G9&gt;=$AD$2)*AND(F9&lt;$AD$2),($AD$2)-F9,)+IF((G9&lt;$AD$2),G9-F9,)+IF((I9&gt;=$AD$2)*AND(H9&lt;$AD$2),($AD$2)-H9,)+IF((I9&lt;$AD$2),I9-H9,)+IF((K9&gt;=$AD$2)*AND(J9&lt;$AD$2),($AD$2)-J9,)+IF((K9&lt;$AD$2),K9-J9,)</f>
        <v>0</v>
      </c>
      <c r="AJ9" s="422">
        <f>IF((D9&lt;&gt;""),VLOOKUP(D9,Données!$E$36:$H$59,4,FALSE),)</f>
        <v>0</v>
      </c>
      <c r="AK9" s="422">
        <f>IF(V9&gt;0,L9,0)</f>
        <v>0</v>
      </c>
      <c r="AL9" s="423">
        <f>IF(L9&gt;0,D9,0)</f>
        <v>0</v>
      </c>
      <c r="AM9" s="424">
        <f t="shared" si="12"/>
        <v>0</v>
      </c>
      <c r="AN9" s="425">
        <f t="shared" si="13"/>
        <v>0</v>
      </c>
      <c r="AO9" s="422">
        <f t="shared" si="14"/>
        <v>0</v>
      </c>
      <c r="AP9" s="426">
        <f>IF((F9&lt;=$AQ$2)*AND(G9&gt;=$AQ$3),1,)+IF((H9&lt;=$AQ$2)*AND(I9&gt;=$AQ$3),1,)+IF((J9&lt;=$AQ$2)*AND(K9&gt;=$AQ$3),1,)</f>
        <v>0</v>
      </c>
      <c r="AQ9" s="426">
        <f>IF((F9&lt;=$AR$2)*AND(G9&gt;=$AR$3),1,)+IF((H9&lt;=$AR$2)*AND(I9&gt;=$AR$3),1,)+IF((J9&lt;=$AR$2)*AND(K9&gt;=$AR$3),1,)</f>
        <v>0</v>
      </c>
      <c r="AR9" s="426">
        <f>IF((F9&lt;=$AS$2)*AND(G9&gt;=$AS$3),1,)+IF((H9&lt;=$AS$2)*AND(I9&gt;=$AS$3),1,)+IF((J9&lt;=$AS$2)*AND(K9&gt;=$AS$3),1,)</f>
        <v>0</v>
      </c>
      <c r="AS9" s="426">
        <f>IF((F9=$AT$2)*AND(G9&gt;=$AT$3),1,)+IF((H9=$AT$2)*AND(I9&gt;=$AT$3),1,)+IF((J9=$AT$2)*AND(K9&gt;=$AT$3),1,)</f>
        <v>0</v>
      </c>
      <c r="AT9" s="424">
        <f t="shared" si="15"/>
        <v>0</v>
      </c>
      <c r="AU9" s="424">
        <f t="shared" si="16"/>
        <v>0</v>
      </c>
      <c r="AV9" s="402">
        <f>IF(Données!$H$8="x",AW9,AX9)</f>
        <v>0.6333333333333333</v>
      </c>
      <c r="AW9" s="402">
        <f t="shared" si="2"/>
        <v>0.31666666666666665</v>
      </c>
      <c r="AX9" s="402">
        <f>AX8</f>
        <v>0.6333333333333333</v>
      </c>
      <c r="AY9" s="403" t="str">
        <f t="shared" si="18"/>
        <v>Sa</v>
      </c>
      <c r="AZ9" s="423">
        <f>IF((S40="HAU3")*AND(S41&lt;&gt;""),VLOOKUP(S41,Échelle!$W$5:$X$31,2),)</f>
        <v>0</v>
      </c>
      <c r="BA9" s="424" t="s">
        <v>2</v>
      </c>
      <c r="BB9" s="148"/>
    </row>
    <row r="10" spans="2:54" x14ac:dyDescent="0.2">
      <c r="B10" s="403" t="s">
        <v>186</v>
      </c>
      <c r="C10" s="412" t="s">
        <v>609</v>
      </c>
      <c r="D10" s="411"/>
      <c r="E10" s="411"/>
      <c r="F10" s="401"/>
      <c r="G10" s="401"/>
      <c r="H10" s="401"/>
      <c r="I10" s="401"/>
      <c r="J10" s="406"/>
      <c r="K10" s="406"/>
      <c r="L10" s="407">
        <f>(G10-F10)+(I10-H10)+(K10-J10)</f>
        <v>0</v>
      </c>
      <c r="M10" s="402">
        <f>M9+L10</f>
        <v>1.2666666666666666</v>
      </c>
      <c r="N10" s="407">
        <f>IF(Nov!$H$47="x",AV10+Nov!$N$36,AV10)</f>
        <v>7.5999999999999961</v>
      </c>
      <c r="O10" s="408" t="str">
        <f t="shared" si="3"/>
        <v>-</v>
      </c>
      <c r="P10" s="409">
        <f t="shared" si="4"/>
        <v>6.3333333333333295</v>
      </c>
      <c r="Q10" s="410">
        <f t="shared" si="5"/>
        <v>0</v>
      </c>
      <c r="R10" s="410">
        <f t="shared" si="6"/>
        <v>0</v>
      </c>
      <c r="S10" s="410">
        <f t="shared" si="7"/>
        <v>0</v>
      </c>
      <c r="T10" s="410">
        <f t="shared" si="8"/>
        <v>0</v>
      </c>
      <c r="U10" s="407">
        <f t="shared" si="9"/>
        <v>0</v>
      </c>
      <c r="V10" s="407">
        <f>L10</f>
        <v>0</v>
      </c>
      <c r="W10" s="402">
        <f t="shared" si="10"/>
        <v>0</v>
      </c>
      <c r="X10" s="402">
        <f t="shared" si="11"/>
        <v>0</v>
      </c>
      <c r="Y10" s="401"/>
      <c r="Z10" s="401"/>
      <c r="AA10" s="411"/>
      <c r="AB10" s="420">
        <f t="shared" si="19"/>
        <v>0</v>
      </c>
      <c r="AC10" s="420">
        <f t="shared" si="20"/>
        <v>0</v>
      </c>
      <c r="AD10" s="420">
        <f t="shared" si="21"/>
        <v>0</v>
      </c>
      <c r="AE10" s="420">
        <f t="shared" si="22"/>
        <v>0</v>
      </c>
      <c r="AF10" s="421">
        <f t="shared" si="23"/>
        <v>0</v>
      </c>
      <c r="AG10" s="420">
        <f t="shared" si="24"/>
        <v>0</v>
      </c>
      <c r="AH10" s="421">
        <f t="shared" si="25"/>
        <v>0</v>
      </c>
      <c r="AI10" s="420">
        <f t="shared" si="26"/>
        <v>0</v>
      </c>
      <c r="AJ10" s="422">
        <f>IF((D10&lt;&gt;""),VLOOKUP(D10,Données!$E$36:$H$59,4,FALSE),)</f>
        <v>0</v>
      </c>
      <c r="AK10" s="422">
        <f t="shared" ref="AK10:AK37" si="27">IF(V10&gt;0,L10,0)</f>
        <v>0</v>
      </c>
      <c r="AL10" s="423">
        <f t="shared" ref="AL10:AL37" si="28">IF(L10&gt;0,D10,0)</f>
        <v>0</v>
      </c>
      <c r="AM10" s="424">
        <f t="shared" si="12"/>
        <v>0</v>
      </c>
      <c r="AN10" s="425">
        <f t="shared" si="13"/>
        <v>0</v>
      </c>
      <c r="AO10" s="422">
        <f t="shared" si="14"/>
        <v>0</v>
      </c>
      <c r="AP10" s="426">
        <f t="shared" ref="AP10:AP37" si="29">IF((F10&lt;=$AQ$2)*AND(G10&gt;=$AQ$3),1,)+IF((H10&lt;=$AQ$2)*AND(I10&gt;=$AQ$3),1,)+IF((J10&lt;=$AQ$2)*AND(K10&gt;=$AQ$3),1,)</f>
        <v>0</v>
      </c>
      <c r="AQ10" s="426">
        <f t="shared" ref="AQ10:AQ37" si="30">IF((F10&lt;=$AR$2)*AND(G10&gt;=$AR$3),1,)+IF((H10&lt;=$AR$2)*AND(I10&gt;=$AR$3),1,)+IF((J10&lt;=$AR$2)*AND(K10&gt;=$AR$3),1,)</f>
        <v>0</v>
      </c>
      <c r="AR10" s="426">
        <f t="shared" ref="AR10:AR37" si="31">IF((F10&lt;=$AS$2)*AND(G10&gt;=$AS$3),1,)+IF((H10&lt;=$AS$2)*AND(I10&gt;=$AS$3),1,)+IF((J10&lt;=$AS$2)*AND(K10&gt;=$AS$3),1,)</f>
        <v>0</v>
      </c>
      <c r="AS10" s="426">
        <f t="shared" ref="AS10:AS37" si="32">IF((F10=$AT$2)*AND(G10&gt;=$AT$3),1,)+IF((H10=$AT$2)*AND(I10&gt;=$AT$3),1,)+IF((J10=$AT$2)*AND(K10&gt;=$AT$3),1,)</f>
        <v>0</v>
      </c>
      <c r="AT10" s="424">
        <f t="shared" si="15"/>
        <v>0</v>
      </c>
      <c r="AU10" s="424">
        <f t="shared" si="16"/>
        <v>0</v>
      </c>
      <c r="AV10" s="402">
        <f>IF(Données!$H$8="x",AW10,AX10)</f>
        <v>0.6333333333333333</v>
      </c>
      <c r="AW10" s="402">
        <f t="shared" si="2"/>
        <v>0.31666666666666665</v>
      </c>
      <c r="AX10" s="402">
        <f>AX9</f>
        <v>0.6333333333333333</v>
      </c>
      <c r="AY10" s="403" t="str">
        <f t="shared" si="18"/>
        <v>Di</v>
      </c>
      <c r="AZ10" s="423">
        <f>IF((S40="B1")*AND(S41&lt;&gt;""),VLOOKUP(S41,Échelle!$Z$5:$AA$31,2),)</f>
        <v>0</v>
      </c>
      <c r="BA10" s="424" t="s">
        <v>3</v>
      </c>
      <c r="BB10" s="148"/>
    </row>
    <row r="11" spans="2:54" x14ac:dyDescent="0.2">
      <c r="B11" s="467" t="s">
        <v>188</v>
      </c>
      <c r="C11" s="468" t="s">
        <v>610</v>
      </c>
      <c r="D11" s="469"/>
      <c r="E11" s="469"/>
      <c r="F11" s="470"/>
      <c r="G11" s="470"/>
      <c r="H11" s="470"/>
      <c r="I11" s="470"/>
      <c r="J11" s="487"/>
      <c r="K11" s="487"/>
      <c r="L11" s="488">
        <f t="shared" si="0"/>
        <v>0</v>
      </c>
      <c r="M11" s="471">
        <f t="shared" ref="M11:M35" si="33">M10+L11</f>
        <v>1.2666666666666666</v>
      </c>
      <c r="N11" s="488">
        <f>IF(Nov!$H$47="x",AV11+Nov!$N$36,AV11)</f>
        <v>7.9166666666666634</v>
      </c>
      <c r="O11" s="483" t="str">
        <f t="shared" si="3"/>
        <v>-</v>
      </c>
      <c r="P11" s="489">
        <f t="shared" si="4"/>
        <v>6.6499999999999968</v>
      </c>
      <c r="Q11" s="474">
        <f t="shared" si="5"/>
        <v>0</v>
      </c>
      <c r="R11" s="474">
        <f t="shared" si="6"/>
        <v>0</v>
      </c>
      <c r="S11" s="474">
        <f t="shared" si="7"/>
        <v>0</v>
      </c>
      <c r="T11" s="474">
        <f t="shared" si="8"/>
        <v>0</v>
      </c>
      <c r="U11" s="488">
        <f t="shared" si="9"/>
        <v>0</v>
      </c>
      <c r="V11" s="488">
        <f t="shared" ref="V11:V15" si="34">IF(D11="F",L11,0)</f>
        <v>0</v>
      </c>
      <c r="W11" s="471">
        <f t="shared" si="10"/>
        <v>0</v>
      </c>
      <c r="X11" s="471">
        <f t="shared" si="11"/>
        <v>0</v>
      </c>
      <c r="Y11" s="470"/>
      <c r="Z11" s="470"/>
      <c r="AA11" s="469"/>
      <c r="AB11" s="475">
        <f t="shared" si="19"/>
        <v>0</v>
      </c>
      <c r="AC11" s="475">
        <f t="shared" si="20"/>
        <v>0</v>
      </c>
      <c r="AD11" s="475">
        <f t="shared" si="21"/>
        <v>0</v>
      </c>
      <c r="AE11" s="475">
        <f t="shared" si="22"/>
        <v>0</v>
      </c>
      <c r="AF11" s="476">
        <f t="shared" si="23"/>
        <v>0</v>
      </c>
      <c r="AG11" s="475">
        <f t="shared" si="24"/>
        <v>0</v>
      </c>
      <c r="AH11" s="476">
        <f t="shared" si="25"/>
        <v>0</v>
      </c>
      <c r="AI11" s="475">
        <f t="shared" si="26"/>
        <v>0</v>
      </c>
      <c r="AJ11" s="477">
        <f>IF((D11&lt;&gt;""),VLOOKUP(D11,Données!$E$36:$H$59,4,FALSE),)</f>
        <v>0</v>
      </c>
      <c r="AK11" s="477">
        <f t="shared" si="27"/>
        <v>0</v>
      </c>
      <c r="AL11" s="478">
        <f t="shared" si="28"/>
        <v>0</v>
      </c>
      <c r="AM11" s="479">
        <f t="shared" si="12"/>
        <v>0</v>
      </c>
      <c r="AN11" s="480">
        <f t="shared" si="13"/>
        <v>0</v>
      </c>
      <c r="AO11" s="477">
        <f t="shared" si="14"/>
        <v>0</v>
      </c>
      <c r="AP11" s="481">
        <f t="shared" si="29"/>
        <v>0</v>
      </c>
      <c r="AQ11" s="481">
        <f t="shared" si="30"/>
        <v>0</v>
      </c>
      <c r="AR11" s="481">
        <f t="shared" si="31"/>
        <v>0</v>
      </c>
      <c r="AS11" s="481">
        <f t="shared" si="32"/>
        <v>0</v>
      </c>
      <c r="AT11" s="479">
        <f t="shared" si="15"/>
        <v>0</v>
      </c>
      <c r="AU11" s="479">
        <f t="shared" si="16"/>
        <v>0</v>
      </c>
      <c r="AV11" s="471">
        <f>IF(Données!$H$8="x",AW11,AX11)</f>
        <v>0.95</v>
      </c>
      <c r="AW11" s="471">
        <f t="shared" si="2"/>
        <v>0.47499999999999998</v>
      </c>
      <c r="AX11" s="471">
        <f t="shared" ref="AX11:AX15" si="35">IF(D11="L",AX10,(AX10+"07:36"))</f>
        <v>0.95</v>
      </c>
      <c r="AY11" s="467" t="str">
        <f t="shared" si="18"/>
        <v>Lu</v>
      </c>
      <c r="AZ11" s="7">
        <f>IF((S40="B2")*AND(S41&lt;&gt;""),VLOOKUP(S41,Échelle!$AC$5:$AD$31,2),)</f>
        <v>0</v>
      </c>
      <c r="BA11" s="4" t="s">
        <v>4</v>
      </c>
      <c r="BB11" s="148"/>
    </row>
    <row r="12" spans="2:54" x14ac:dyDescent="0.2">
      <c r="B12" s="467" t="s">
        <v>176</v>
      </c>
      <c r="C12" s="468" t="s">
        <v>611</v>
      </c>
      <c r="D12" s="469"/>
      <c r="E12" s="469"/>
      <c r="F12" s="470"/>
      <c r="G12" s="470"/>
      <c r="H12" s="470"/>
      <c r="I12" s="470"/>
      <c r="J12" s="487"/>
      <c r="K12" s="487"/>
      <c r="L12" s="488">
        <f t="shared" si="0"/>
        <v>0</v>
      </c>
      <c r="M12" s="471">
        <f t="shared" si="33"/>
        <v>1.2666666666666666</v>
      </c>
      <c r="N12" s="488">
        <f>IF(Nov!$H$47="x",AV12+Nov!$N$36,AV12)</f>
        <v>8.2333333333333307</v>
      </c>
      <c r="O12" s="483" t="str">
        <f t="shared" si="3"/>
        <v>-</v>
      </c>
      <c r="P12" s="489">
        <f t="shared" si="4"/>
        <v>6.9666666666666641</v>
      </c>
      <c r="Q12" s="474">
        <f t="shared" si="5"/>
        <v>0</v>
      </c>
      <c r="R12" s="474">
        <f t="shared" si="6"/>
        <v>0</v>
      </c>
      <c r="S12" s="474">
        <f t="shared" si="7"/>
        <v>0</v>
      </c>
      <c r="T12" s="474">
        <f t="shared" si="8"/>
        <v>0</v>
      </c>
      <c r="U12" s="488">
        <f t="shared" si="9"/>
        <v>0</v>
      </c>
      <c r="V12" s="488">
        <f t="shared" si="34"/>
        <v>0</v>
      </c>
      <c r="W12" s="471">
        <f t="shared" si="10"/>
        <v>0</v>
      </c>
      <c r="X12" s="471">
        <f t="shared" si="11"/>
        <v>0</v>
      </c>
      <c r="Y12" s="470"/>
      <c r="Z12" s="470"/>
      <c r="AA12" s="469"/>
      <c r="AB12" s="475">
        <f t="shared" si="19"/>
        <v>0</v>
      </c>
      <c r="AC12" s="475">
        <f t="shared" si="20"/>
        <v>0</v>
      </c>
      <c r="AD12" s="475">
        <f t="shared" si="21"/>
        <v>0</v>
      </c>
      <c r="AE12" s="475">
        <f t="shared" si="22"/>
        <v>0</v>
      </c>
      <c r="AF12" s="476">
        <f t="shared" si="23"/>
        <v>0</v>
      </c>
      <c r="AG12" s="475">
        <f t="shared" si="24"/>
        <v>0</v>
      </c>
      <c r="AH12" s="476">
        <f t="shared" si="25"/>
        <v>0</v>
      </c>
      <c r="AI12" s="475">
        <f t="shared" si="26"/>
        <v>0</v>
      </c>
      <c r="AJ12" s="477">
        <f>IF((D12&lt;&gt;""),VLOOKUP(D12,Données!$E$36:$H$59,4,FALSE),)</f>
        <v>0</v>
      </c>
      <c r="AK12" s="477">
        <f t="shared" si="27"/>
        <v>0</v>
      </c>
      <c r="AL12" s="478">
        <f t="shared" si="28"/>
        <v>0</v>
      </c>
      <c r="AM12" s="479">
        <f t="shared" si="12"/>
        <v>0</v>
      </c>
      <c r="AN12" s="480">
        <f t="shared" si="13"/>
        <v>0</v>
      </c>
      <c r="AO12" s="477">
        <f t="shared" si="14"/>
        <v>0</v>
      </c>
      <c r="AP12" s="481">
        <f t="shared" si="29"/>
        <v>0</v>
      </c>
      <c r="AQ12" s="481">
        <f t="shared" si="30"/>
        <v>0</v>
      </c>
      <c r="AR12" s="481">
        <f t="shared" si="31"/>
        <v>0</v>
      </c>
      <c r="AS12" s="481">
        <f t="shared" si="32"/>
        <v>0</v>
      </c>
      <c r="AT12" s="479">
        <f t="shared" si="15"/>
        <v>0</v>
      </c>
      <c r="AU12" s="479">
        <f t="shared" si="16"/>
        <v>0</v>
      </c>
      <c r="AV12" s="471">
        <f>IF(Données!$H$8="x",AW12,AX12)</f>
        <v>1.2666666666666666</v>
      </c>
      <c r="AW12" s="471">
        <f t="shared" si="2"/>
        <v>0.6333333333333333</v>
      </c>
      <c r="AX12" s="471">
        <f t="shared" si="35"/>
        <v>1.2666666666666666</v>
      </c>
      <c r="AY12" s="467" t="str">
        <f t="shared" si="18"/>
        <v>Ma</v>
      </c>
      <c r="AZ12" s="7">
        <f>IF((S40="B3")*AND(S41&lt;&gt;""),VLOOKUP(S41,Échelle!$AF$5:$AG$31,2),)</f>
        <v>0</v>
      </c>
      <c r="BA12" s="4" t="s">
        <v>5</v>
      </c>
      <c r="BB12" s="148"/>
    </row>
    <row r="13" spans="2:54" x14ac:dyDescent="0.2">
      <c r="B13" s="467" t="s">
        <v>178</v>
      </c>
      <c r="C13" s="468" t="s">
        <v>612</v>
      </c>
      <c r="D13" s="469"/>
      <c r="E13" s="469"/>
      <c r="F13" s="470"/>
      <c r="G13" s="470"/>
      <c r="H13" s="470"/>
      <c r="I13" s="470"/>
      <c r="J13" s="487"/>
      <c r="K13" s="487"/>
      <c r="L13" s="488">
        <f t="shared" si="0"/>
        <v>0</v>
      </c>
      <c r="M13" s="471">
        <f t="shared" si="33"/>
        <v>1.2666666666666666</v>
      </c>
      <c r="N13" s="488">
        <f>IF(Nov!$H$47="x",AV13+Nov!$N$36,AV13)</f>
        <v>8.5499999999999972</v>
      </c>
      <c r="O13" s="483" t="str">
        <f t="shared" si="3"/>
        <v>-</v>
      </c>
      <c r="P13" s="489">
        <f t="shared" si="4"/>
        <v>7.2833333333333306</v>
      </c>
      <c r="Q13" s="474">
        <f t="shared" si="5"/>
        <v>0</v>
      </c>
      <c r="R13" s="474">
        <f t="shared" si="6"/>
        <v>0</v>
      </c>
      <c r="S13" s="474">
        <f t="shared" si="7"/>
        <v>0</v>
      </c>
      <c r="T13" s="474">
        <f t="shared" si="8"/>
        <v>0</v>
      </c>
      <c r="U13" s="488">
        <f t="shared" si="9"/>
        <v>0</v>
      </c>
      <c r="V13" s="488">
        <f t="shared" si="34"/>
        <v>0</v>
      </c>
      <c r="W13" s="471">
        <f t="shared" si="10"/>
        <v>0</v>
      </c>
      <c r="X13" s="471">
        <f t="shared" si="11"/>
        <v>0</v>
      </c>
      <c r="Y13" s="470"/>
      <c r="Z13" s="470"/>
      <c r="AA13" s="469"/>
      <c r="AB13" s="475">
        <f t="shared" si="19"/>
        <v>0</v>
      </c>
      <c r="AC13" s="475">
        <f t="shared" si="20"/>
        <v>0</v>
      </c>
      <c r="AD13" s="475">
        <f t="shared" si="21"/>
        <v>0</v>
      </c>
      <c r="AE13" s="475">
        <f t="shared" si="22"/>
        <v>0</v>
      </c>
      <c r="AF13" s="476">
        <f t="shared" si="23"/>
        <v>0</v>
      </c>
      <c r="AG13" s="475">
        <f t="shared" si="24"/>
        <v>0</v>
      </c>
      <c r="AH13" s="476">
        <f t="shared" si="25"/>
        <v>0</v>
      </c>
      <c r="AI13" s="475">
        <f t="shared" si="26"/>
        <v>0</v>
      </c>
      <c r="AJ13" s="477">
        <f>IF((D13&lt;&gt;""),VLOOKUP(D13,Données!$E$36:$H$59,4,FALSE),)</f>
        <v>0</v>
      </c>
      <c r="AK13" s="477">
        <f t="shared" si="27"/>
        <v>0</v>
      </c>
      <c r="AL13" s="478">
        <f t="shared" si="28"/>
        <v>0</v>
      </c>
      <c r="AM13" s="479">
        <f t="shared" si="12"/>
        <v>0</v>
      </c>
      <c r="AN13" s="480">
        <f t="shared" si="13"/>
        <v>0</v>
      </c>
      <c r="AO13" s="477">
        <f t="shared" si="14"/>
        <v>0</v>
      </c>
      <c r="AP13" s="481">
        <f t="shared" si="29"/>
        <v>0</v>
      </c>
      <c r="AQ13" s="481">
        <f t="shared" si="30"/>
        <v>0</v>
      </c>
      <c r="AR13" s="481">
        <f t="shared" si="31"/>
        <v>0</v>
      </c>
      <c r="AS13" s="481">
        <f t="shared" si="32"/>
        <v>0</v>
      </c>
      <c r="AT13" s="479">
        <f t="shared" si="15"/>
        <v>0</v>
      </c>
      <c r="AU13" s="479">
        <f t="shared" si="16"/>
        <v>0</v>
      </c>
      <c r="AV13" s="471">
        <f>IF(Données!$H$8="x",AW13,AX13)</f>
        <v>1.5833333333333333</v>
      </c>
      <c r="AW13" s="471">
        <f t="shared" si="2"/>
        <v>0.79166666666666663</v>
      </c>
      <c r="AX13" s="471">
        <f t="shared" si="35"/>
        <v>1.5833333333333333</v>
      </c>
      <c r="AY13" s="467" t="str">
        <f t="shared" si="18"/>
        <v>Me</v>
      </c>
      <c r="AZ13" s="7">
        <f>IF((S40="B4")*AND(S41&lt;&gt;""),VLOOKUP(S41,Échelle!AI$5:AJ$34,2),)</f>
        <v>0</v>
      </c>
      <c r="BA13" s="4" t="s">
        <v>6</v>
      </c>
      <c r="BB13" s="148"/>
    </row>
    <row r="14" spans="2:54" x14ac:dyDescent="0.2">
      <c r="B14" s="467" t="s">
        <v>180</v>
      </c>
      <c r="C14" s="468" t="s">
        <v>613</v>
      </c>
      <c r="D14" s="469"/>
      <c r="E14" s="469"/>
      <c r="F14" s="470"/>
      <c r="G14" s="470"/>
      <c r="H14" s="470"/>
      <c r="I14" s="470"/>
      <c r="J14" s="487"/>
      <c r="K14" s="487"/>
      <c r="L14" s="488">
        <f t="shared" si="0"/>
        <v>0</v>
      </c>
      <c r="M14" s="471">
        <f t="shared" si="33"/>
        <v>1.2666666666666666</v>
      </c>
      <c r="N14" s="488">
        <f>IF(Nov!$H$47="x",AV14+Nov!$N$36,AV14)</f>
        <v>8.8666666666666636</v>
      </c>
      <c r="O14" s="483" t="str">
        <f t="shared" si="3"/>
        <v>-</v>
      </c>
      <c r="P14" s="489">
        <f t="shared" si="4"/>
        <v>7.599999999999997</v>
      </c>
      <c r="Q14" s="474">
        <f t="shared" si="5"/>
        <v>0</v>
      </c>
      <c r="R14" s="474">
        <f t="shared" si="6"/>
        <v>0</v>
      </c>
      <c r="S14" s="474">
        <f t="shared" si="7"/>
        <v>0</v>
      </c>
      <c r="T14" s="474">
        <f t="shared" si="8"/>
        <v>0</v>
      </c>
      <c r="U14" s="488">
        <f t="shared" si="9"/>
        <v>0</v>
      </c>
      <c r="V14" s="488">
        <f t="shared" si="34"/>
        <v>0</v>
      </c>
      <c r="W14" s="471">
        <f t="shared" si="10"/>
        <v>0</v>
      </c>
      <c r="X14" s="471">
        <f t="shared" si="11"/>
        <v>0</v>
      </c>
      <c r="Y14" s="470"/>
      <c r="Z14" s="470"/>
      <c r="AA14" s="469"/>
      <c r="AB14" s="475">
        <f t="shared" si="19"/>
        <v>0</v>
      </c>
      <c r="AC14" s="475">
        <f t="shared" si="20"/>
        <v>0</v>
      </c>
      <c r="AD14" s="475">
        <f t="shared" si="21"/>
        <v>0</v>
      </c>
      <c r="AE14" s="475">
        <f t="shared" si="22"/>
        <v>0</v>
      </c>
      <c r="AF14" s="476">
        <f t="shared" si="23"/>
        <v>0</v>
      </c>
      <c r="AG14" s="475">
        <f t="shared" si="24"/>
        <v>0</v>
      </c>
      <c r="AH14" s="476">
        <f t="shared" si="25"/>
        <v>0</v>
      </c>
      <c r="AI14" s="475">
        <f t="shared" si="26"/>
        <v>0</v>
      </c>
      <c r="AJ14" s="477">
        <f>IF((D14&lt;&gt;""),VLOOKUP(D14,Données!$E$36:$H$59,4,FALSE),)</f>
        <v>0</v>
      </c>
      <c r="AK14" s="477">
        <f t="shared" si="27"/>
        <v>0</v>
      </c>
      <c r="AL14" s="478">
        <f t="shared" si="28"/>
        <v>0</v>
      </c>
      <c r="AM14" s="479">
        <f t="shared" si="12"/>
        <v>0</v>
      </c>
      <c r="AN14" s="480">
        <f t="shared" si="13"/>
        <v>0</v>
      </c>
      <c r="AO14" s="477">
        <f t="shared" si="14"/>
        <v>0</v>
      </c>
      <c r="AP14" s="481">
        <f t="shared" si="29"/>
        <v>0</v>
      </c>
      <c r="AQ14" s="481">
        <f t="shared" si="30"/>
        <v>0</v>
      </c>
      <c r="AR14" s="481">
        <f t="shared" si="31"/>
        <v>0</v>
      </c>
      <c r="AS14" s="481">
        <f t="shared" si="32"/>
        <v>0</v>
      </c>
      <c r="AT14" s="479">
        <f t="shared" si="15"/>
        <v>0</v>
      </c>
      <c r="AU14" s="479">
        <f t="shared" si="16"/>
        <v>0</v>
      </c>
      <c r="AV14" s="471">
        <f>IF(Données!$H$8="x",AW14,AX14)</f>
        <v>1.9</v>
      </c>
      <c r="AW14" s="471">
        <f t="shared" si="2"/>
        <v>0.95</v>
      </c>
      <c r="AX14" s="471">
        <f t="shared" si="35"/>
        <v>1.9</v>
      </c>
      <c r="AY14" s="467" t="str">
        <f t="shared" si="18"/>
        <v>Je</v>
      </c>
      <c r="AZ14" s="7">
        <f>IF((S40="B5")*AND(S41&lt;&gt;""),VLOOKUP(S41,Échelle!AL$5:AM$34,2),)</f>
        <v>0</v>
      </c>
      <c r="BA14" s="4" t="s">
        <v>7</v>
      </c>
      <c r="BB14" s="148"/>
    </row>
    <row r="15" spans="2:54" x14ac:dyDescent="0.2">
      <c r="B15" s="467" t="s">
        <v>182</v>
      </c>
      <c r="C15" s="468" t="s">
        <v>614</v>
      </c>
      <c r="D15" s="469"/>
      <c r="E15" s="469"/>
      <c r="F15" s="470"/>
      <c r="G15" s="470"/>
      <c r="H15" s="470"/>
      <c r="I15" s="470"/>
      <c r="J15" s="487"/>
      <c r="K15" s="487"/>
      <c r="L15" s="488">
        <f t="shared" si="0"/>
        <v>0</v>
      </c>
      <c r="M15" s="471">
        <f>M14+L15</f>
        <v>1.2666666666666666</v>
      </c>
      <c r="N15" s="488">
        <f>IF(Nov!$H$47="x",AV15+Nov!$N$36,AV15)</f>
        <v>9.18333333333333</v>
      </c>
      <c r="O15" s="483" t="str">
        <f t="shared" si="3"/>
        <v>-</v>
      </c>
      <c r="P15" s="489">
        <f t="shared" si="4"/>
        <v>7.9166666666666634</v>
      </c>
      <c r="Q15" s="474">
        <f t="shared" si="5"/>
        <v>0</v>
      </c>
      <c r="R15" s="474">
        <f t="shared" si="6"/>
        <v>0</v>
      </c>
      <c r="S15" s="474">
        <f t="shared" si="7"/>
        <v>0</v>
      </c>
      <c r="T15" s="474">
        <f t="shared" si="8"/>
        <v>0</v>
      </c>
      <c r="U15" s="488">
        <f t="shared" si="9"/>
        <v>0</v>
      </c>
      <c r="V15" s="488">
        <f t="shared" si="34"/>
        <v>0</v>
      </c>
      <c r="W15" s="471">
        <f t="shared" si="10"/>
        <v>0</v>
      </c>
      <c r="X15" s="471">
        <f t="shared" si="11"/>
        <v>0</v>
      </c>
      <c r="Y15" s="470"/>
      <c r="Z15" s="470"/>
      <c r="AA15" s="469"/>
      <c r="AB15" s="475">
        <f t="shared" si="19"/>
        <v>0</v>
      </c>
      <c r="AC15" s="475">
        <f t="shared" si="20"/>
        <v>0</v>
      </c>
      <c r="AD15" s="475">
        <f t="shared" si="21"/>
        <v>0</v>
      </c>
      <c r="AE15" s="475">
        <f t="shared" si="22"/>
        <v>0</v>
      </c>
      <c r="AF15" s="476">
        <f t="shared" si="23"/>
        <v>0</v>
      </c>
      <c r="AG15" s="475">
        <f t="shared" si="24"/>
        <v>0</v>
      </c>
      <c r="AH15" s="476">
        <f t="shared" si="25"/>
        <v>0</v>
      </c>
      <c r="AI15" s="475">
        <f t="shared" si="26"/>
        <v>0</v>
      </c>
      <c r="AJ15" s="477">
        <f>IF((D15&lt;&gt;""),VLOOKUP(D15,Données!$E$36:$H$59,4,FALSE),)</f>
        <v>0</v>
      </c>
      <c r="AK15" s="477">
        <f t="shared" si="27"/>
        <v>0</v>
      </c>
      <c r="AL15" s="478">
        <f t="shared" si="28"/>
        <v>0</v>
      </c>
      <c r="AM15" s="479">
        <f t="shared" si="12"/>
        <v>0</v>
      </c>
      <c r="AN15" s="480">
        <f t="shared" si="13"/>
        <v>0</v>
      </c>
      <c r="AO15" s="477">
        <f t="shared" si="14"/>
        <v>0</v>
      </c>
      <c r="AP15" s="481">
        <f t="shared" si="29"/>
        <v>0</v>
      </c>
      <c r="AQ15" s="481">
        <f t="shared" si="30"/>
        <v>0</v>
      </c>
      <c r="AR15" s="481">
        <f t="shared" si="31"/>
        <v>0</v>
      </c>
      <c r="AS15" s="481">
        <f t="shared" si="32"/>
        <v>0</v>
      </c>
      <c r="AT15" s="479">
        <f t="shared" si="15"/>
        <v>0</v>
      </c>
      <c r="AU15" s="479">
        <f t="shared" si="16"/>
        <v>0</v>
      </c>
      <c r="AV15" s="471">
        <f>IF(Données!$H$8="x",AW15,AX15)</f>
        <v>2.2166666666666668</v>
      </c>
      <c r="AW15" s="471">
        <f t="shared" si="2"/>
        <v>1.1083333333333334</v>
      </c>
      <c r="AX15" s="471">
        <f t="shared" si="35"/>
        <v>2.2166666666666668</v>
      </c>
      <c r="AY15" s="467" t="str">
        <f t="shared" si="18"/>
        <v>Ve</v>
      </c>
      <c r="AZ15" s="7">
        <f>IF((S40="M1.1")*AND(S41&lt;&gt;""),VLOOKUP(S41,Échelle!$AO$5:$AP$31,2),)</f>
        <v>0</v>
      </c>
      <c r="BA15" s="4" t="s">
        <v>8</v>
      </c>
      <c r="BB15" s="148"/>
    </row>
    <row r="16" spans="2:54" x14ac:dyDescent="0.2">
      <c r="B16" s="403" t="s">
        <v>184</v>
      </c>
      <c r="C16" s="412" t="s">
        <v>615</v>
      </c>
      <c r="D16" s="411"/>
      <c r="E16" s="411"/>
      <c r="F16" s="401"/>
      <c r="G16" s="401"/>
      <c r="H16" s="401"/>
      <c r="I16" s="401"/>
      <c r="J16" s="406"/>
      <c r="K16" s="406"/>
      <c r="L16" s="407">
        <f>(G16-F16)+(I16-H16)+(K16-J16)</f>
        <v>0</v>
      </c>
      <c r="M16" s="402">
        <f>M15+L16</f>
        <v>1.2666666666666666</v>
      </c>
      <c r="N16" s="407">
        <f>IF(Nov!$H$47="x",AV16+Nov!$N$36,AV16)</f>
        <v>9.18333333333333</v>
      </c>
      <c r="O16" s="408" t="str">
        <f t="shared" si="3"/>
        <v>-</v>
      </c>
      <c r="P16" s="409">
        <f t="shared" si="4"/>
        <v>7.9166666666666634</v>
      </c>
      <c r="Q16" s="410">
        <f t="shared" si="5"/>
        <v>0</v>
      </c>
      <c r="R16" s="410">
        <f t="shared" si="6"/>
        <v>0</v>
      </c>
      <c r="S16" s="410">
        <f t="shared" si="7"/>
        <v>0</v>
      </c>
      <c r="T16" s="410">
        <f t="shared" si="8"/>
        <v>0</v>
      </c>
      <c r="U16" s="407">
        <f t="shared" si="9"/>
        <v>0</v>
      </c>
      <c r="V16" s="407">
        <f>L16</f>
        <v>0</v>
      </c>
      <c r="W16" s="402">
        <f t="shared" si="10"/>
        <v>0</v>
      </c>
      <c r="X16" s="402">
        <f t="shared" si="11"/>
        <v>0</v>
      </c>
      <c r="Y16" s="401"/>
      <c r="Z16" s="401"/>
      <c r="AA16" s="411"/>
      <c r="AB16" s="420">
        <f t="shared" si="19"/>
        <v>0</v>
      </c>
      <c r="AC16" s="420">
        <f t="shared" si="20"/>
        <v>0</v>
      </c>
      <c r="AD16" s="420">
        <f t="shared" si="21"/>
        <v>0</v>
      </c>
      <c r="AE16" s="420">
        <f t="shared" si="22"/>
        <v>0</v>
      </c>
      <c r="AF16" s="421">
        <f t="shared" si="23"/>
        <v>0</v>
      </c>
      <c r="AG16" s="420">
        <f t="shared" si="24"/>
        <v>0</v>
      </c>
      <c r="AH16" s="421">
        <f t="shared" si="25"/>
        <v>0</v>
      </c>
      <c r="AI16" s="420">
        <f t="shared" si="26"/>
        <v>0</v>
      </c>
      <c r="AJ16" s="422">
        <f>IF((D16&lt;&gt;""),VLOOKUP(D16,Données!$E$36:$H$59,4,FALSE),)</f>
        <v>0</v>
      </c>
      <c r="AK16" s="422">
        <f t="shared" si="27"/>
        <v>0</v>
      </c>
      <c r="AL16" s="423">
        <f t="shared" si="28"/>
        <v>0</v>
      </c>
      <c r="AM16" s="424">
        <f t="shared" si="12"/>
        <v>0</v>
      </c>
      <c r="AN16" s="425">
        <f t="shared" si="13"/>
        <v>0</v>
      </c>
      <c r="AO16" s="422">
        <f t="shared" si="14"/>
        <v>0</v>
      </c>
      <c r="AP16" s="426">
        <f t="shared" si="29"/>
        <v>0</v>
      </c>
      <c r="AQ16" s="426">
        <f t="shared" si="30"/>
        <v>0</v>
      </c>
      <c r="AR16" s="426">
        <f t="shared" si="31"/>
        <v>0</v>
      </c>
      <c r="AS16" s="426">
        <f t="shared" si="32"/>
        <v>0</v>
      </c>
      <c r="AT16" s="424">
        <f t="shared" si="15"/>
        <v>0</v>
      </c>
      <c r="AU16" s="424">
        <f t="shared" si="16"/>
        <v>0</v>
      </c>
      <c r="AV16" s="402">
        <f>IF(Données!$H$8="x",AW16,AX16)</f>
        <v>2.2166666666666668</v>
      </c>
      <c r="AW16" s="402">
        <f t="shared" si="2"/>
        <v>1.1083333333333334</v>
      </c>
      <c r="AX16" s="402">
        <f>AX15</f>
        <v>2.2166666666666668</v>
      </c>
      <c r="AY16" s="403" t="str">
        <f t="shared" si="18"/>
        <v>Sa</v>
      </c>
      <c r="AZ16" s="423">
        <f>IF((S40="M1.2")*AND(S41&lt;&gt;""),VLOOKUP(S41,Échelle!$AR$5:$AS$31,2),)</f>
        <v>0</v>
      </c>
      <c r="BA16" s="424" t="s">
        <v>9</v>
      </c>
      <c r="BB16" s="148"/>
    </row>
    <row r="17" spans="2:54" x14ac:dyDescent="0.2">
      <c r="B17" s="403" t="s">
        <v>186</v>
      </c>
      <c r="C17" s="412" t="s">
        <v>616</v>
      </c>
      <c r="D17" s="411"/>
      <c r="E17" s="411"/>
      <c r="F17" s="401"/>
      <c r="G17" s="401"/>
      <c r="H17" s="401"/>
      <c r="I17" s="401"/>
      <c r="J17" s="406"/>
      <c r="K17" s="406"/>
      <c r="L17" s="407">
        <f>(G17-F17)+(I17-H17)+(K17-J17)</f>
        <v>0</v>
      </c>
      <c r="M17" s="402">
        <f t="shared" si="33"/>
        <v>1.2666666666666666</v>
      </c>
      <c r="N17" s="407">
        <f>IF(Nov!$H$47="x",AV17+Nov!$N$36,AV17)</f>
        <v>9.18333333333333</v>
      </c>
      <c r="O17" s="408" t="str">
        <f t="shared" si="3"/>
        <v>-</v>
      </c>
      <c r="P17" s="409">
        <f t="shared" si="4"/>
        <v>7.9166666666666634</v>
      </c>
      <c r="Q17" s="410">
        <f t="shared" si="5"/>
        <v>0</v>
      </c>
      <c r="R17" s="410">
        <f t="shared" si="6"/>
        <v>0</v>
      </c>
      <c r="S17" s="410">
        <f t="shared" si="7"/>
        <v>0</v>
      </c>
      <c r="T17" s="410">
        <f t="shared" si="8"/>
        <v>0</v>
      </c>
      <c r="U17" s="407">
        <f t="shared" si="9"/>
        <v>0</v>
      </c>
      <c r="V17" s="407">
        <f>L17</f>
        <v>0</v>
      </c>
      <c r="W17" s="402">
        <f t="shared" si="10"/>
        <v>0</v>
      </c>
      <c r="X17" s="402">
        <f t="shared" si="11"/>
        <v>0</v>
      </c>
      <c r="Y17" s="401"/>
      <c r="Z17" s="401"/>
      <c r="AA17" s="411"/>
      <c r="AB17" s="420">
        <f t="shared" si="19"/>
        <v>0</v>
      </c>
      <c r="AC17" s="420">
        <f t="shared" si="20"/>
        <v>0</v>
      </c>
      <c r="AD17" s="420">
        <f t="shared" si="21"/>
        <v>0</v>
      </c>
      <c r="AE17" s="420">
        <f t="shared" si="22"/>
        <v>0</v>
      </c>
      <c r="AF17" s="421">
        <f t="shared" si="23"/>
        <v>0</v>
      </c>
      <c r="AG17" s="420">
        <f t="shared" si="24"/>
        <v>0</v>
      </c>
      <c r="AH17" s="421">
        <f t="shared" si="25"/>
        <v>0</v>
      </c>
      <c r="AI17" s="420">
        <f t="shared" si="26"/>
        <v>0</v>
      </c>
      <c r="AJ17" s="422">
        <f>IF((D17&lt;&gt;""),VLOOKUP(D17,Données!$E$36:$H$59,4,FALSE),)</f>
        <v>0</v>
      </c>
      <c r="AK17" s="422">
        <f t="shared" si="27"/>
        <v>0</v>
      </c>
      <c r="AL17" s="423">
        <f t="shared" si="28"/>
        <v>0</v>
      </c>
      <c r="AM17" s="424">
        <f t="shared" si="12"/>
        <v>0</v>
      </c>
      <c r="AN17" s="425">
        <f t="shared" si="13"/>
        <v>0</v>
      </c>
      <c r="AO17" s="422">
        <f t="shared" si="14"/>
        <v>0</v>
      </c>
      <c r="AP17" s="426">
        <f t="shared" si="29"/>
        <v>0</v>
      </c>
      <c r="AQ17" s="426">
        <f t="shared" si="30"/>
        <v>0</v>
      </c>
      <c r="AR17" s="426">
        <f t="shared" si="31"/>
        <v>0</v>
      </c>
      <c r="AS17" s="426">
        <f t="shared" si="32"/>
        <v>0</v>
      </c>
      <c r="AT17" s="424">
        <f t="shared" si="15"/>
        <v>0</v>
      </c>
      <c r="AU17" s="424">
        <f t="shared" si="16"/>
        <v>0</v>
      </c>
      <c r="AV17" s="402">
        <f>IF(Données!$H$8="x",AW17,AX17)</f>
        <v>2.2166666666666668</v>
      </c>
      <c r="AW17" s="402">
        <f t="shared" si="2"/>
        <v>1.1083333333333334</v>
      </c>
      <c r="AX17" s="402">
        <f>AX16</f>
        <v>2.2166666666666668</v>
      </c>
      <c r="AY17" s="403" t="str">
        <f t="shared" si="18"/>
        <v>Di</v>
      </c>
      <c r="AZ17" s="423">
        <f>IF((S40="M2.1")*AND(S41&lt;&gt;""),VLOOKUP(S41,Échelle!$AU$5:$AV$31,2),)</f>
        <v>0</v>
      </c>
      <c r="BA17" s="424" t="s">
        <v>10</v>
      </c>
      <c r="BB17" s="148"/>
    </row>
    <row r="18" spans="2:54" x14ac:dyDescent="0.2">
      <c r="B18" s="467" t="s">
        <v>188</v>
      </c>
      <c r="C18" s="468" t="s">
        <v>617</v>
      </c>
      <c r="D18" s="469"/>
      <c r="E18" s="469"/>
      <c r="F18" s="470"/>
      <c r="G18" s="470"/>
      <c r="H18" s="470"/>
      <c r="I18" s="470"/>
      <c r="J18" s="487"/>
      <c r="K18" s="487"/>
      <c r="L18" s="488">
        <f t="shared" si="0"/>
        <v>0</v>
      </c>
      <c r="M18" s="471">
        <f t="shared" si="33"/>
        <v>1.2666666666666666</v>
      </c>
      <c r="N18" s="488">
        <f>IF(Nov!$H$47="x",AV18+Nov!$N$36,AV18)</f>
        <v>9.4999999999999964</v>
      </c>
      <c r="O18" s="483" t="str">
        <f t="shared" si="3"/>
        <v>-</v>
      </c>
      <c r="P18" s="489">
        <f t="shared" si="4"/>
        <v>8.2333333333333307</v>
      </c>
      <c r="Q18" s="474">
        <f t="shared" si="5"/>
        <v>0</v>
      </c>
      <c r="R18" s="474">
        <f t="shared" si="6"/>
        <v>0</v>
      </c>
      <c r="S18" s="474">
        <f t="shared" si="7"/>
        <v>0</v>
      </c>
      <c r="T18" s="474">
        <f t="shared" si="8"/>
        <v>0</v>
      </c>
      <c r="U18" s="488">
        <f t="shared" si="9"/>
        <v>0</v>
      </c>
      <c r="V18" s="488">
        <f t="shared" ref="V18:V22" si="36">IF(D18="F",L18,0)</f>
        <v>0</v>
      </c>
      <c r="W18" s="471">
        <f t="shared" si="10"/>
        <v>0</v>
      </c>
      <c r="X18" s="471">
        <f t="shared" si="11"/>
        <v>0</v>
      </c>
      <c r="Y18" s="470"/>
      <c r="Z18" s="470"/>
      <c r="AA18" s="469"/>
      <c r="AB18" s="475">
        <f t="shared" si="19"/>
        <v>0</v>
      </c>
      <c r="AC18" s="475">
        <f t="shared" si="20"/>
        <v>0</v>
      </c>
      <c r="AD18" s="475">
        <f t="shared" si="21"/>
        <v>0</v>
      </c>
      <c r="AE18" s="475">
        <f t="shared" si="22"/>
        <v>0</v>
      </c>
      <c r="AF18" s="476">
        <f t="shared" si="23"/>
        <v>0</v>
      </c>
      <c r="AG18" s="475">
        <f t="shared" si="24"/>
        <v>0</v>
      </c>
      <c r="AH18" s="476">
        <f t="shared" si="25"/>
        <v>0</v>
      </c>
      <c r="AI18" s="475">
        <f t="shared" si="26"/>
        <v>0</v>
      </c>
      <c r="AJ18" s="477">
        <f>IF((D18&lt;&gt;""),VLOOKUP(D18,Données!$E$36:$H$59,4,FALSE),)</f>
        <v>0</v>
      </c>
      <c r="AK18" s="477">
        <f t="shared" si="27"/>
        <v>0</v>
      </c>
      <c r="AL18" s="478">
        <f t="shared" si="28"/>
        <v>0</v>
      </c>
      <c r="AM18" s="479">
        <f t="shared" si="12"/>
        <v>0</v>
      </c>
      <c r="AN18" s="480">
        <f t="shared" si="13"/>
        <v>0</v>
      </c>
      <c r="AO18" s="477">
        <f t="shared" si="14"/>
        <v>0</v>
      </c>
      <c r="AP18" s="481">
        <f t="shared" si="29"/>
        <v>0</v>
      </c>
      <c r="AQ18" s="481">
        <f t="shared" si="30"/>
        <v>0</v>
      </c>
      <c r="AR18" s="481">
        <f t="shared" si="31"/>
        <v>0</v>
      </c>
      <c r="AS18" s="481">
        <f t="shared" si="32"/>
        <v>0</v>
      </c>
      <c r="AT18" s="479">
        <f t="shared" si="15"/>
        <v>0</v>
      </c>
      <c r="AU18" s="479">
        <f t="shared" si="16"/>
        <v>0</v>
      </c>
      <c r="AV18" s="471">
        <f>IF(Données!$H$8="x",AW18,AX18)</f>
        <v>2.5333333333333332</v>
      </c>
      <c r="AW18" s="471">
        <f t="shared" si="2"/>
        <v>1.2666666666666666</v>
      </c>
      <c r="AX18" s="471">
        <f t="shared" ref="AX18:AX22" si="37">IF(D18="L",AX17,(AX17+"07:36"))</f>
        <v>2.5333333333333332</v>
      </c>
      <c r="AY18" s="467" t="str">
        <f t="shared" si="18"/>
        <v>Lu</v>
      </c>
      <c r="AZ18" s="7">
        <f>IF((S40="M2.2")*AND(S41&lt;&gt;""),VLOOKUP(S41,Échelle!$AX$5:$AY$31,2),)</f>
        <v>0</v>
      </c>
      <c r="BA18" s="4" t="s">
        <v>11</v>
      </c>
      <c r="BB18" s="148"/>
    </row>
    <row r="19" spans="2:54" x14ac:dyDescent="0.2">
      <c r="B19" s="467" t="s">
        <v>176</v>
      </c>
      <c r="C19" s="468" t="s">
        <v>618</v>
      </c>
      <c r="D19" s="469"/>
      <c r="E19" s="469"/>
      <c r="F19" s="470"/>
      <c r="G19" s="470"/>
      <c r="H19" s="470"/>
      <c r="I19" s="470"/>
      <c r="J19" s="487"/>
      <c r="K19" s="487"/>
      <c r="L19" s="488">
        <f t="shared" si="0"/>
        <v>0</v>
      </c>
      <c r="M19" s="471">
        <f t="shared" si="33"/>
        <v>1.2666666666666666</v>
      </c>
      <c r="N19" s="488">
        <f>IF(Nov!$H$47="x",AV19+Nov!$N$36,AV19)</f>
        <v>9.8166666666666629</v>
      </c>
      <c r="O19" s="483" t="str">
        <f t="shared" si="3"/>
        <v>-</v>
      </c>
      <c r="P19" s="489">
        <f t="shared" si="4"/>
        <v>8.5499999999999972</v>
      </c>
      <c r="Q19" s="474">
        <f t="shared" si="5"/>
        <v>0</v>
      </c>
      <c r="R19" s="474">
        <f t="shared" si="6"/>
        <v>0</v>
      </c>
      <c r="S19" s="474">
        <f t="shared" si="7"/>
        <v>0</v>
      </c>
      <c r="T19" s="474">
        <f t="shared" si="8"/>
        <v>0</v>
      </c>
      <c r="U19" s="488">
        <f t="shared" si="9"/>
        <v>0</v>
      </c>
      <c r="V19" s="488">
        <f t="shared" si="36"/>
        <v>0</v>
      </c>
      <c r="W19" s="471">
        <f t="shared" si="10"/>
        <v>0</v>
      </c>
      <c r="X19" s="471">
        <f t="shared" si="11"/>
        <v>0</v>
      </c>
      <c r="Y19" s="470"/>
      <c r="Z19" s="470"/>
      <c r="AA19" s="469"/>
      <c r="AB19" s="475">
        <f t="shared" si="19"/>
        <v>0</v>
      </c>
      <c r="AC19" s="475">
        <f t="shared" si="20"/>
        <v>0</v>
      </c>
      <c r="AD19" s="475">
        <f t="shared" si="21"/>
        <v>0</v>
      </c>
      <c r="AE19" s="475">
        <f t="shared" si="22"/>
        <v>0</v>
      </c>
      <c r="AF19" s="476">
        <f t="shared" si="23"/>
        <v>0</v>
      </c>
      <c r="AG19" s="475">
        <f t="shared" si="24"/>
        <v>0</v>
      </c>
      <c r="AH19" s="476">
        <f t="shared" si="25"/>
        <v>0</v>
      </c>
      <c r="AI19" s="475">
        <f t="shared" si="26"/>
        <v>0</v>
      </c>
      <c r="AJ19" s="477">
        <f>IF((D19&lt;&gt;""),VLOOKUP(D19,Données!$E$36:$H$59,4,FALSE),)</f>
        <v>0</v>
      </c>
      <c r="AK19" s="477">
        <f t="shared" si="27"/>
        <v>0</v>
      </c>
      <c r="AL19" s="478">
        <f t="shared" si="28"/>
        <v>0</v>
      </c>
      <c r="AM19" s="479">
        <f t="shared" si="12"/>
        <v>0</v>
      </c>
      <c r="AN19" s="480">
        <f t="shared" si="13"/>
        <v>0</v>
      </c>
      <c r="AO19" s="477">
        <f t="shared" si="14"/>
        <v>0</v>
      </c>
      <c r="AP19" s="481">
        <f t="shared" si="29"/>
        <v>0</v>
      </c>
      <c r="AQ19" s="481">
        <f t="shared" si="30"/>
        <v>0</v>
      </c>
      <c r="AR19" s="481">
        <f t="shared" si="31"/>
        <v>0</v>
      </c>
      <c r="AS19" s="481">
        <f t="shared" si="32"/>
        <v>0</v>
      </c>
      <c r="AT19" s="479">
        <f t="shared" si="15"/>
        <v>0</v>
      </c>
      <c r="AU19" s="479">
        <f t="shared" si="16"/>
        <v>0</v>
      </c>
      <c r="AV19" s="471">
        <f>IF(Données!$H$8="x",AW19,AX19)</f>
        <v>2.8499999999999996</v>
      </c>
      <c r="AW19" s="471">
        <f t="shared" si="2"/>
        <v>1.4249999999999998</v>
      </c>
      <c r="AX19" s="471">
        <f t="shared" si="37"/>
        <v>2.8499999999999996</v>
      </c>
      <c r="AY19" s="467" t="str">
        <f t="shared" si="18"/>
        <v>Ma</v>
      </c>
      <c r="AZ19" s="7">
        <f>IF((S40="M3.1")*AND(S41&lt;&gt;""),VLOOKUP(S41,Échelle!$BA$5:$BB$31,2),)</f>
        <v>0</v>
      </c>
      <c r="BA19" s="4" t="s">
        <v>12</v>
      </c>
      <c r="BB19" s="148"/>
    </row>
    <row r="20" spans="2:54" x14ac:dyDescent="0.2">
      <c r="B20" s="467" t="s">
        <v>178</v>
      </c>
      <c r="C20" s="468" t="s">
        <v>619</v>
      </c>
      <c r="D20" s="469"/>
      <c r="E20" s="469"/>
      <c r="F20" s="470"/>
      <c r="G20" s="470"/>
      <c r="H20" s="470"/>
      <c r="I20" s="470"/>
      <c r="J20" s="487"/>
      <c r="K20" s="487"/>
      <c r="L20" s="488">
        <f t="shared" si="0"/>
        <v>0</v>
      </c>
      <c r="M20" s="471">
        <f t="shared" si="33"/>
        <v>1.2666666666666666</v>
      </c>
      <c r="N20" s="488">
        <f>IF(Nov!$H$47="x",AV20+Nov!$N$36,AV20)</f>
        <v>10.133333333333329</v>
      </c>
      <c r="O20" s="483" t="str">
        <f t="shared" si="3"/>
        <v>-</v>
      </c>
      <c r="P20" s="489">
        <f t="shared" si="4"/>
        <v>8.8666666666666636</v>
      </c>
      <c r="Q20" s="474">
        <f t="shared" si="5"/>
        <v>0</v>
      </c>
      <c r="R20" s="474">
        <f t="shared" si="6"/>
        <v>0</v>
      </c>
      <c r="S20" s="474">
        <f t="shared" si="7"/>
        <v>0</v>
      </c>
      <c r="T20" s="474">
        <f t="shared" si="8"/>
        <v>0</v>
      </c>
      <c r="U20" s="488">
        <f t="shared" si="9"/>
        <v>0</v>
      </c>
      <c r="V20" s="488">
        <f t="shared" si="36"/>
        <v>0</v>
      </c>
      <c r="W20" s="471">
        <f t="shared" si="10"/>
        <v>0</v>
      </c>
      <c r="X20" s="471">
        <f t="shared" si="11"/>
        <v>0</v>
      </c>
      <c r="Y20" s="470"/>
      <c r="Z20" s="470"/>
      <c r="AA20" s="469"/>
      <c r="AB20" s="475">
        <f t="shared" si="19"/>
        <v>0</v>
      </c>
      <c r="AC20" s="475">
        <f t="shared" si="20"/>
        <v>0</v>
      </c>
      <c r="AD20" s="475">
        <f t="shared" si="21"/>
        <v>0</v>
      </c>
      <c r="AE20" s="475">
        <f t="shared" si="22"/>
        <v>0</v>
      </c>
      <c r="AF20" s="476">
        <f t="shared" si="23"/>
        <v>0</v>
      </c>
      <c r="AG20" s="475">
        <f t="shared" si="24"/>
        <v>0</v>
      </c>
      <c r="AH20" s="476">
        <f t="shared" si="25"/>
        <v>0</v>
      </c>
      <c r="AI20" s="475">
        <f t="shared" si="26"/>
        <v>0</v>
      </c>
      <c r="AJ20" s="477">
        <f>IF((D20&lt;&gt;""),VLOOKUP(D20,Données!$E$36:$H$59,4,FALSE),)</f>
        <v>0</v>
      </c>
      <c r="AK20" s="477">
        <f t="shared" si="27"/>
        <v>0</v>
      </c>
      <c r="AL20" s="478">
        <f t="shared" si="28"/>
        <v>0</v>
      </c>
      <c r="AM20" s="479">
        <f t="shared" si="12"/>
        <v>0</v>
      </c>
      <c r="AN20" s="480">
        <f t="shared" si="13"/>
        <v>0</v>
      </c>
      <c r="AO20" s="477">
        <f t="shared" si="14"/>
        <v>0</v>
      </c>
      <c r="AP20" s="481">
        <f t="shared" si="29"/>
        <v>0</v>
      </c>
      <c r="AQ20" s="481">
        <f t="shared" si="30"/>
        <v>0</v>
      </c>
      <c r="AR20" s="481">
        <f t="shared" si="31"/>
        <v>0</v>
      </c>
      <c r="AS20" s="481">
        <f t="shared" si="32"/>
        <v>0</v>
      </c>
      <c r="AT20" s="479">
        <f t="shared" si="15"/>
        <v>0</v>
      </c>
      <c r="AU20" s="479">
        <f t="shared" si="16"/>
        <v>0</v>
      </c>
      <c r="AV20" s="471">
        <f>IF(Données!$H$8="x",AW20,AX20)</f>
        <v>3.1666666666666661</v>
      </c>
      <c r="AW20" s="471">
        <f t="shared" si="2"/>
        <v>1.583333333333333</v>
      </c>
      <c r="AX20" s="471">
        <f t="shared" si="37"/>
        <v>3.1666666666666661</v>
      </c>
      <c r="AY20" s="467" t="str">
        <f t="shared" si="18"/>
        <v>Me</v>
      </c>
      <c r="AZ20" s="7">
        <f>IF((S40="M3.2")*AND(S41&lt;&gt;""),VLOOKUP(S41,Échelle!$BD$5:$BE$31,2),)</f>
        <v>0</v>
      </c>
      <c r="BA20" s="4" t="s">
        <v>13</v>
      </c>
      <c r="BB20" s="148"/>
    </row>
    <row r="21" spans="2:54" x14ac:dyDescent="0.2">
      <c r="B21" s="467" t="s">
        <v>180</v>
      </c>
      <c r="C21" s="468" t="s">
        <v>620</v>
      </c>
      <c r="D21" s="469"/>
      <c r="E21" s="469"/>
      <c r="F21" s="470"/>
      <c r="G21" s="470"/>
      <c r="H21" s="470"/>
      <c r="I21" s="470"/>
      <c r="J21" s="487"/>
      <c r="K21" s="487"/>
      <c r="L21" s="488">
        <f t="shared" si="0"/>
        <v>0</v>
      </c>
      <c r="M21" s="471">
        <f t="shared" si="33"/>
        <v>1.2666666666666666</v>
      </c>
      <c r="N21" s="488">
        <f>IF(Nov!$H$47="x",AV21+Nov!$N$36,AV21)</f>
        <v>10.449999999999996</v>
      </c>
      <c r="O21" s="483" t="str">
        <f t="shared" si="3"/>
        <v>-</v>
      </c>
      <c r="P21" s="489">
        <f t="shared" si="4"/>
        <v>9.18333333333333</v>
      </c>
      <c r="Q21" s="474">
        <f t="shared" si="5"/>
        <v>0</v>
      </c>
      <c r="R21" s="474">
        <f t="shared" si="6"/>
        <v>0</v>
      </c>
      <c r="S21" s="474">
        <f t="shared" si="7"/>
        <v>0</v>
      </c>
      <c r="T21" s="474">
        <f t="shared" si="8"/>
        <v>0</v>
      </c>
      <c r="U21" s="488">
        <f t="shared" si="9"/>
        <v>0</v>
      </c>
      <c r="V21" s="488">
        <f t="shared" si="36"/>
        <v>0</v>
      </c>
      <c r="W21" s="471">
        <f t="shared" si="10"/>
        <v>0</v>
      </c>
      <c r="X21" s="471">
        <f t="shared" si="11"/>
        <v>0</v>
      </c>
      <c r="Y21" s="470"/>
      <c r="Z21" s="470"/>
      <c r="AA21" s="469"/>
      <c r="AB21" s="475">
        <f t="shared" si="19"/>
        <v>0</v>
      </c>
      <c r="AC21" s="475">
        <f t="shared" si="20"/>
        <v>0</v>
      </c>
      <c r="AD21" s="475">
        <f t="shared" si="21"/>
        <v>0</v>
      </c>
      <c r="AE21" s="475">
        <f t="shared" si="22"/>
        <v>0</v>
      </c>
      <c r="AF21" s="476">
        <f t="shared" si="23"/>
        <v>0</v>
      </c>
      <c r="AG21" s="475">
        <f t="shared" si="24"/>
        <v>0</v>
      </c>
      <c r="AH21" s="476">
        <f t="shared" si="25"/>
        <v>0</v>
      </c>
      <c r="AI21" s="475">
        <f t="shared" si="26"/>
        <v>0</v>
      </c>
      <c r="AJ21" s="477">
        <f>IF((D21&lt;&gt;""),VLOOKUP(D21,Données!$E$36:$H$59,4,FALSE),)</f>
        <v>0</v>
      </c>
      <c r="AK21" s="477">
        <f t="shared" si="27"/>
        <v>0</v>
      </c>
      <c r="AL21" s="478">
        <f t="shared" si="28"/>
        <v>0</v>
      </c>
      <c r="AM21" s="479">
        <f t="shared" si="12"/>
        <v>0</v>
      </c>
      <c r="AN21" s="480">
        <f t="shared" si="13"/>
        <v>0</v>
      </c>
      <c r="AO21" s="477">
        <f t="shared" si="14"/>
        <v>0</v>
      </c>
      <c r="AP21" s="481">
        <f t="shared" si="29"/>
        <v>0</v>
      </c>
      <c r="AQ21" s="481">
        <f t="shared" si="30"/>
        <v>0</v>
      </c>
      <c r="AR21" s="481">
        <f t="shared" si="31"/>
        <v>0</v>
      </c>
      <c r="AS21" s="481">
        <f t="shared" si="32"/>
        <v>0</v>
      </c>
      <c r="AT21" s="479">
        <f t="shared" si="15"/>
        <v>0</v>
      </c>
      <c r="AU21" s="479">
        <f t="shared" si="16"/>
        <v>0</v>
      </c>
      <c r="AV21" s="471">
        <f>IF(Données!$H$8="x",AW21,AX21)</f>
        <v>3.4833333333333325</v>
      </c>
      <c r="AW21" s="471">
        <f t="shared" si="2"/>
        <v>1.7416666666666663</v>
      </c>
      <c r="AX21" s="471">
        <f t="shared" si="37"/>
        <v>3.4833333333333325</v>
      </c>
      <c r="AY21" s="467" t="str">
        <f t="shared" si="18"/>
        <v>Je</v>
      </c>
      <c r="AZ21" s="7">
        <f>IF((S40="M4.1")*AND(S41&lt;&gt;""),VLOOKUP(S41,Échelle!$BJ$39:$BK$68,2),)</f>
        <v>0</v>
      </c>
      <c r="BA21" s="4" t="s">
        <v>14</v>
      </c>
      <c r="BB21" s="148"/>
    </row>
    <row r="22" spans="2:54" x14ac:dyDescent="0.2">
      <c r="B22" s="467" t="s">
        <v>182</v>
      </c>
      <c r="C22" s="468" t="s">
        <v>621</v>
      </c>
      <c r="D22" s="469"/>
      <c r="E22" s="469"/>
      <c r="F22" s="470"/>
      <c r="G22" s="470"/>
      <c r="H22" s="470"/>
      <c r="I22" s="470"/>
      <c r="J22" s="487"/>
      <c r="K22" s="487"/>
      <c r="L22" s="488">
        <f t="shared" si="0"/>
        <v>0</v>
      </c>
      <c r="M22" s="471">
        <f>M21+L22</f>
        <v>1.2666666666666666</v>
      </c>
      <c r="N22" s="488">
        <f>IF(Nov!$H$47="x",AV22+Nov!$N$36,AV22)</f>
        <v>10.766666666666662</v>
      </c>
      <c r="O22" s="483" t="str">
        <f t="shared" si="3"/>
        <v>-</v>
      </c>
      <c r="P22" s="489">
        <f t="shared" si="4"/>
        <v>9.4999999999999964</v>
      </c>
      <c r="Q22" s="474">
        <f t="shared" si="5"/>
        <v>0</v>
      </c>
      <c r="R22" s="474">
        <f t="shared" si="6"/>
        <v>0</v>
      </c>
      <c r="S22" s="474">
        <f t="shared" si="7"/>
        <v>0</v>
      </c>
      <c r="T22" s="474">
        <f t="shared" si="8"/>
        <v>0</v>
      </c>
      <c r="U22" s="488">
        <f t="shared" si="9"/>
        <v>0</v>
      </c>
      <c r="V22" s="488">
        <f t="shared" si="36"/>
        <v>0</v>
      </c>
      <c r="W22" s="471">
        <f t="shared" si="10"/>
        <v>0</v>
      </c>
      <c r="X22" s="471">
        <f t="shared" si="11"/>
        <v>0</v>
      </c>
      <c r="Y22" s="470"/>
      <c r="Z22" s="470"/>
      <c r="AA22" s="469"/>
      <c r="AB22" s="475">
        <f t="shared" si="19"/>
        <v>0</v>
      </c>
      <c r="AC22" s="475">
        <f t="shared" si="20"/>
        <v>0</v>
      </c>
      <c r="AD22" s="475">
        <f t="shared" si="21"/>
        <v>0</v>
      </c>
      <c r="AE22" s="475">
        <f t="shared" si="22"/>
        <v>0</v>
      </c>
      <c r="AF22" s="476">
        <f t="shared" si="23"/>
        <v>0</v>
      </c>
      <c r="AG22" s="475">
        <f t="shared" si="24"/>
        <v>0</v>
      </c>
      <c r="AH22" s="476">
        <f t="shared" si="25"/>
        <v>0</v>
      </c>
      <c r="AI22" s="475">
        <f t="shared" si="26"/>
        <v>0</v>
      </c>
      <c r="AJ22" s="477">
        <f>IF((D22&lt;&gt;""),VLOOKUP(D22,Données!$E$36:$H$59,4,FALSE),)</f>
        <v>0</v>
      </c>
      <c r="AK22" s="477">
        <f t="shared" si="27"/>
        <v>0</v>
      </c>
      <c r="AL22" s="478">
        <f t="shared" si="28"/>
        <v>0</v>
      </c>
      <c r="AM22" s="479">
        <f t="shared" si="12"/>
        <v>0</v>
      </c>
      <c r="AN22" s="480">
        <f t="shared" si="13"/>
        <v>0</v>
      </c>
      <c r="AO22" s="477">
        <f t="shared" si="14"/>
        <v>0</v>
      </c>
      <c r="AP22" s="481">
        <f t="shared" si="29"/>
        <v>0</v>
      </c>
      <c r="AQ22" s="481">
        <f t="shared" si="30"/>
        <v>0</v>
      </c>
      <c r="AR22" s="481">
        <f t="shared" si="31"/>
        <v>0</v>
      </c>
      <c r="AS22" s="481">
        <f t="shared" si="32"/>
        <v>0</v>
      </c>
      <c r="AT22" s="479">
        <f t="shared" si="15"/>
        <v>0</v>
      </c>
      <c r="AU22" s="479">
        <f t="shared" si="16"/>
        <v>0</v>
      </c>
      <c r="AV22" s="471">
        <f>IF(Données!$H$8="x",AW22,AX22)</f>
        <v>3.7999999999999989</v>
      </c>
      <c r="AW22" s="471">
        <f t="shared" si="2"/>
        <v>1.8999999999999995</v>
      </c>
      <c r="AX22" s="471">
        <f t="shared" si="37"/>
        <v>3.7999999999999989</v>
      </c>
      <c r="AY22" s="467" t="str">
        <f t="shared" si="18"/>
        <v>Ve</v>
      </c>
      <c r="AZ22" s="7">
        <f>IF((S40="M4.2")*AND(S41&lt;&gt;""),VLOOKUP(S41,Échelle!$BJ$5:$BK$31,2),)</f>
        <v>0</v>
      </c>
      <c r="BA22" s="4" t="s">
        <v>15</v>
      </c>
      <c r="BB22" s="148"/>
    </row>
    <row r="23" spans="2:54" x14ac:dyDescent="0.2">
      <c r="B23" s="403" t="s">
        <v>184</v>
      </c>
      <c r="C23" s="412" t="s">
        <v>622</v>
      </c>
      <c r="D23" s="411"/>
      <c r="E23" s="411"/>
      <c r="F23" s="401"/>
      <c r="G23" s="401"/>
      <c r="H23" s="401"/>
      <c r="I23" s="401"/>
      <c r="J23" s="406"/>
      <c r="K23" s="406"/>
      <c r="L23" s="407">
        <f>(G23-F23)+(I23-H23)+(K23-J23)</f>
        <v>0</v>
      </c>
      <c r="M23" s="402">
        <f>M22+L23</f>
        <v>1.2666666666666666</v>
      </c>
      <c r="N23" s="407">
        <f>IF(Nov!$H$47="x",AV23+Nov!$N$36,AV23)</f>
        <v>10.766666666666662</v>
      </c>
      <c r="O23" s="408" t="str">
        <f t="shared" si="3"/>
        <v>-</v>
      </c>
      <c r="P23" s="409">
        <f t="shared" si="4"/>
        <v>9.4999999999999964</v>
      </c>
      <c r="Q23" s="410">
        <f t="shared" si="5"/>
        <v>0</v>
      </c>
      <c r="R23" s="410">
        <f t="shared" si="6"/>
        <v>0</v>
      </c>
      <c r="S23" s="410">
        <f t="shared" si="7"/>
        <v>0</v>
      </c>
      <c r="T23" s="410">
        <f t="shared" si="8"/>
        <v>0</v>
      </c>
      <c r="U23" s="407">
        <f t="shared" si="9"/>
        <v>0</v>
      </c>
      <c r="V23" s="407">
        <f>L23</f>
        <v>0</v>
      </c>
      <c r="W23" s="402">
        <f t="shared" si="10"/>
        <v>0</v>
      </c>
      <c r="X23" s="402">
        <f t="shared" si="11"/>
        <v>0</v>
      </c>
      <c r="Y23" s="401"/>
      <c r="Z23" s="401"/>
      <c r="AA23" s="411"/>
      <c r="AB23" s="420">
        <f t="shared" si="19"/>
        <v>0</v>
      </c>
      <c r="AC23" s="420">
        <f t="shared" si="20"/>
        <v>0</v>
      </c>
      <c r="AD23" s="420">
        <f t="shared" si="21"/>
        <v>0</v>
      </c>
      <c r="AE23" s="420">
        <f t="shared" si="22"/>
        <v>0</v>
      </c>
      <c r="AF23" s="421">
        <f t="shared" si="23"/>
        <v>0</v>
      </c>
      <c r="AG23" s="420">
        <f t="shared" si="24"/>
        <v>0</v>
      </c>
      <c r="AH23" s="421">
        <f t="shared" si="25"/>
        <v>0</v>
      </c>
      <c r="AI23" s="420">
        <f t="shared" si="26"/>
        <v>0</v>
      </c>
      <c r="AJ23" s="422">
        <f>IF((D23&lt;&gt;""),VLOOKUP(D23,Données!$E$36:$H$59,4,FALSE),)</f>
        <v>0</v>
      </c>
      <c r="AK23" s="422">
        <f t="shared" si="27"/>
        <v>0</v>
      </c>
      <c r="AL23" s="423">
        <f t="shared" si="28"/>
        <v>0</v>
      </c>
      <c r="AM23" s="424">
        <f t="shared" si="12"/>
        <v>0</v>
      </c>
      <c r="AN23" s="425">
        <f t="shared" si="13"/>
        <v>0</v>
      </c>
      <c r="AO23" s="422">
        <f t="shared" si="14"/>
        <v>0</v>
      </c>
      <c r="AP23" s="426">
        <f t="shared" si="29"/>
        <v>0</v>
      </c>
      <c r="AQ23" s="426">
        <f t="shared" si="30"/>
        <v>0</v>
      </c>
      <c r="AR23" s="426">
        <f t="shared" si="31"/>
        <v>0</v>
      </c>
      <c r="AS23" s="426">
        <f t="shared" si="32"/>
        <v>0</v>
      </c>
      <c r="AT23" s="424">
        <f t="shared" si="15"/>
        <v>0</v>
      </c>
      <c r="AU23" s="424">
        <f t="shared" si="16"/>
        <v>0</v>
      </c>
      <c r="AV23" s="402">
        <f>IF(Données!$H$8="x",AW23,AX23)</f>
        <v>3.7999999999999989</v>
      </c>
      <c r="AW23" s="402">
        <f t="shared" si="2"/>
        <v>1.8999999999999995</v>
      </c>
      <c r="AX23" s="402">
        <f>AX22</f>
        <v>3.7999999999999989</v>
      </c>
      <c r="AY23" s="403" t="str">
        <f t="shared" si="18"/>
        <v>Sa</v>
      </c>
      <c r="AZ23" s="423">
        <f>IF((S40="M5.1")*AND(S41&lt;&gt;""),VLOOKUP(S41,Échelle!$BM$39:$BN$68,2),)</f>
        <v>34116</v>
      </c>
      <c r="BA23" s="424" t="s">
        <v>16</v>
      </c>
      <c r="BB23" s="148"/>
    </row>
    <row r="24" spans="2:54" x14ac:dyDescent="0.2">
      <c r="B24" s="403" t="s">
        <v>186</v>
      </c>
      <c r="C24" s="412" t="s">
        <v>623</v>
      </c>
      <c r="D24" s="411"/>
      <c r="E24" s="411"/>
      <c r="F24" s="401"/>
      <c r="G24" s="401"/>
      <c r="H24" s="401"/>
      <c r="I24" s="401"/>
      <c r="J24" s="406"/>
      <c r="K24" s="406"/>
      <c r="L24" s="407">
        <f>(G24-F24)+(I24-H24)+(K24-J24)</f>
        <v>0</v>
      </c>
      <c r="M24" s="402">
        <f t="shared" si="33"/>
        <v>1.2666666666666666</v>
      </c>
      <c r="N24" s="407">
        <f>IF(Nov!$H$47="x",AV24+Nov!$N$36,AV24)</f>
        <v>10.766666666666662</v>
      </c>
      <c r="O24" s="408" t="str">
        <f t="shared" si="3"/>
        <v>-</v>
      </c>
      <c r="P24" s="409">
        <f t="shared" si="4"/>
        <v>9.4999999999999964</v>
      </c>
      <c r="Q24" s="410">
        <f t="shared" si="5"/>
        <v>0</v>
      </c>
      <c r="R24" s="410">
        <f t="shared" si="6"/>
        <v>0</v>
      </c>
      <c r="S24" s="410">
        <f t="shared" si="7"/>
        <v>0</v>
      </c>
      <c r="T24" s="410">
        <f t="shared" si="8"/>
        <v>0</v>
      </c>
      <c r="U24" s="407">
        <f t="shared" si="9"/>
        <v>0</v>
      </c>
      <c r="V24" s="407">
        <f>L24</f>
        <v>0</v>
      </c>
      <c r="W24" s="402">
        <f t="shared" si="10"/>
        <v>0</v>
      </c>
      <c r="X24" s="402">
        <f t="shared" si="11"/>
        <v>0</v>
      </c>
      <c r="Y24" s="401"/>
      <c r="Z24" s="401"/>
      <c r="AA24" s="411"/>
      <c r="AB24" s="420">
        <f t="shared" si="19"/>
        <v>0</v>
      </c>
      <c r="AC24" s="420">
        <f t="shared" si="20"/>
        <v>0</v>
      </c>
      <c r="AD24" s="420">
        <f t="shared" si="21"/>
        <v>0</v>
      </c>
      <c r="AE24" s="420">
        <f t="shared" si="22"/>
        <v>0</v>
      </c>
      <c r="AF24" s="421">
        <f t="shared" si="23"/>
        <v>0</v>
      </c>
      <c r="AG24" s="420">
        <f t="shared" si="24"/>
        <v>0</v>
      </c>
      <c r="AH24" s="421">
        <f t="shared" si="25"/>
        <v>0</v>
      </c>
      <c r="AI24" s="420">
        <f t="shared" si="26"/>
        <v>0</v>
      </c>
      <c r="AJ24" s="422">
        <f>IF((D24&lt;&gt;""),VLOOKUP(D24,Données!$E$36:$H$59,4,FALSE),)</f>
        <v>0</v>
      </c>
      <c r="AK24" s="422">
        <f t="shared" si="27"/>
        <v>0</v>
      </c>
      <c r="AL24" s="423">
        <f t="shared" si="28"/>
        <v>0</v>
      </c>
      <c r="AM24" s="424">
        <f t="shared" si="12"/>
        <v>0</v>
      </c>
      <c r="AN24" s="425">
        <f t="shared" si="13"/>
        <v>0</v>
      </c>
      <c r="AO24" s="422">
        <f t="shared" si="14"/>
        <v>0</v>
      </c>
      <c r="AP24" s="426">
        <f t="shared" si="29"/>
        <v>0</v>
      </c>
      <c r="AQ24" s="426">
        <f t="shared" si="30"/>
        <v>0</v>
      </c>
      <c r="AR24" s="426">
        <f t="shared" si="31"/>
        <v>0</v>
      </c>
      <c r="AS24" s="426">
        <f t="shared" si="32"/>
        <v>0</v>
      </c>
      <c r="AT24" s="424">
        <f t="shared" si="15"/>
        <v>0</v>
      </c>
      <c r="AU24" s="424">
        <f t="shared" si="16"/>
        <v>0</v>
      </c>
      <c r="AV24" s="402">
        <f>IF(Données!$H$8="x",AW24,AX24)</f>
        <v>3.7999999999999989</v>
      </c>
      <c r="AW24" s="402">
        <f t="shared" si="2"/>
        <v>1.8999999999999995</v>
      </c>
      <c r="AX24" s="402">
        <f>AX23</f>
        <v>3.7999999999999989</v>
      </c>
      <c r="AY24" s="403" t="str">
        <f t="shared" si="18"/>
        <v>Di</v>
      </c>
      <c r="AZ24" s="423">
        <f>IF((S40="M5.2")*AND(S41&lt;&gt;""),VLOOKUP(S41,Échelle!$BP$5:$BQ$31,2),)</f>
        <v>0</v>
      </c>
      <c r="BA24" s="424" t="s">
        <v>17</v>
      </c>
      <c r="BB24" s="148"/>
    </row>
    <row r="25" spans="2:54" x14ac:dyDescent="0.2">
      <c r="B25" s="467" t="s">
        <v>188</v>
      </c>
      <c r="C25" s="468" t="s">
        <v>624</v>
      </c>
      <c r="D25" s="469"/>
      <c r="E25" s="469"/>
      <c r="F25" s="470"/>
      <c r="G25" s="470"/>
      <c r="H25" s="470"/>
      <c r="I25" s="470"/>
      <c r="J25" s="487"/>
      <c r="K25" s="487"/>
      <c r="L25" s="488">
        <f t="shared" si="0"/>
        <v>0</v>
      </c>
      <c r="M25" s="471">
        <f t="shared" si="33"/>
        <v>1.2666666666666666</v>
      </c>
      <c r="N25" s="488">
        <f>IF(Nov!$H$47="x",AV25+Nov!$N$36,AV25)</f>
        <v>11.083333333333329</v>
      </c>
      <c r="O25" s="483" t="str">
        <f t="shared" si="3"/>
        <v>-</v>
      </c>
      <c r="P25" s="489">
        <f t="shared" si="4"/>
        <v>9.8166666666666629</v>
      </c>
      <c r="Q25" s="474">
        <f t="shared" si="5"/>
        <v>0</v>
      </c>
      <c r="R25" s="474">
        <f t="shared" si="6"/>
        <v>0</v>
      </c>
      <c r="S25" s="474">
        <f t="shared" si="7"/>
        <v>0</v>
      </c>
      <c r="T25" s="474">
        <f t="shared" si="8"/>
        <v>0</v>
      </c>
      <c r="U25" s="488">
        <f t="shared" si="9"/>
        <v>0</v>
      </c>
      <c r="V25" s="488">
        <f t="shared" ref="V25:V29" si="38">IF(D25="F",L25,0)</f>
        <v>0</v>
      </c>
      <c r="W25" s="471">
        <f t="shared" si="10"/>
        <v>0</v>
      </c>
      <c r="X25" s="471">
        <f t="shared" si="11"/>
        <v>0</v>
      </c>
      <c r="Y25" s="470"/>
      <c r="Z25" s="470"/>
      <c r="AA25" s="469"/>
      <c r="AB25" s="475">
        <f t="shared" si="19"/>
        <v>0</v>
      </c>
      <c r="AC25" s="475">
        <f t="shared" si="20"/>
        <v>0</v>
      </c>
      <c r="AD25" s="475">
        <f t="shared" si="21"/>
        <v>0</v>
      </c>
      <c r="AE25" s="475">
        <f t="shared" si="22"/>
        <v>0</v>
      </c>
      <c r="AF25" s="476">
        <f t="shared" si="23"/>
        <v>0</v>
      </c>
      <c r="AG25" s="475">
        <f t="shared" si="24"/>
        <v>0</v>
      </c>
      <c r="AH25" s="476">
        <f t="shared" si="25"/>
        <v>0</v>
      </c>
      <c r="AI25" s="475">
        <f t="shared" si="26"/>
        <v>0</v>
      </c>
      <c r="AJ25" s="477">
        <f>IF((D25&lt;&gt;""),VLOOKUP(D25,Données!$E$36:$H$59,4,FALSE),)</f>
        <v>0</v>
      </c>
      <c r="AK25" s="477">
        <f t="shared" si="27"/>
        <v>0</v>
      </c>
      <c r="AL25" s="478">
        <f t="shared" si="28"/>
        <v>0</v>
      </c>
      <c r="AM25" s="479">
        <f t="shared" si="12"/>
        <v>0</v>
      </c>
      <c r="AN25" s="480">
        <f t="shared" si="13"/>
        <v>0</v>
      </c>
      <c r="AO25" s="477">
        <f t="shared" si="14"/>
        <v>0</v>
      </c>
      <c r="AP25" s="481">
        <f t="shared" si="29"/>
        <v>0</v>
      </c>
      <c r="AQ25" s="481">
        <f t="shared" si="30"/>
        <v>0</v>
      </c>
      <c r="AR25" s="481">
        <f t="shared" si="31"/>
        <v>0</v>
      </c>
      <c r="AS25" s="481">
        <f t="shared" si="32"/>
        <v>0</v>
      </c>
      <c r="AT25" s="479">
        <f t="shared" si="15"/>
        <v>0</v>
      </c>
      <c r="AU25" s="479">
        <f t="shared" si="16"/>
        <v>0</v>
      </c>
      <c r="AV25" s="471">
        <f>IF(Données!$H$8="x",AW25,AX25)</f>
        <v>4.1166666666666654</v>
      </c>
      <c r="AW25" s="471">
        <f t="shared" si="2"/>
        <v>2.0583333333333327</v>
      </c>
      <c r="AX25" s="471">
        <f t="shared" ref="AX25:AX29" si="39">IF(D25="L",AX24,(AX24+"07:36"))</f>
        <v>4.1166666666666654</v>
      </c>
      <c r="AY25" s="467" t="str">
        <f t="shared" si="18"/>
        <v>Lu</v>
      </c>
      <c r="AZ25" s="7">
        <f>IF((S40="M6")*AND(S41&lt;&gt;""),VLOOKUP(S41,Échelle!$BS$5:$BT$31,2),)</f>
        <v>0</v>
      </c>
      <c r="BA25" s="4" t="s">
        <v>18</v>
      </c>
      <c r="BB25" s="148"/>
    </row>
    <row r="26" spans="2:54" x14ac:dyDescent="0.2">
      <c r="B26" s="467" t="s">
        <v>176</v>
      </c>
      <c r="C26" s="468" t="s">
        <v>625</v>
      </c>
      <c r="D26" s="469"/>
      <c r="E26" s="469"/>
      <c r="F26" s="470"/>
      <c r="G26" s="470"/>
      <c r="H26" s="470"/>
      <c r="I26" s="470"/>
      <c r="J26" s="487"/>
      <c r="K26" s="487"/>
      <c r="L26" s="488">
        <f t="shared" si="0"/>
        <v>0</v>
      </c>
      <c r="M26" s="471">
        <f t="shared" si="33"/>
        <v>1.2666666666666666</v>
      </c>
      <c r="N26" s="488">
        <f>IF(Nov!$H$47="x",AV26+Nov!$N$36,AV26)</f>
        <v>11.399999999999995</v>
      </c>
      <c r="O26" s="483" t="str">
        <f t="shared" si="3"/>
        <v>-</v>
      </c>
      <c r="P26" s="489">
        <f t="shared" si="4"/>
        <v>10.133333333333329</v>
      </c>
      <c r="Q26" s="474">
        <f t="shared" si="5"/>
        <v>0</v>
      </c>
      <c r="R26" s="474">
        <f t="shared" si="6"/>
        <v>0</v>
      </c>
      <c r="S26" s="474">
        <f t="shared" si="7"/>
        <v>0</v>
      </c>
      <c r="T26" s="474">
        <f t="shared" si="8"/>
        <v>0</v>
      </c>
      <c r="U26" s="488">
        <f t="shared" si="9"/>
        <v>0</v>
      </c>
      <c r="V26" s="488">
        <f t="shared" si="38"/>
        <v>0</v>
      </c>
      <c r="W26" s="471">
        <f t="shared" si="10"/>
        <v>0</v>
      </c>
      <c r="X26" s="471">
        <f t="shared" si="11"/>
        <v>0</v>
      </c>
      <c r="Y26" s="470"/>
      <c r="Z26" s="470"/>
      <c r="AA26" s="469"/>
      <c r="AB26" s="475">
        <f t="shared" si="19"/>
        <v>0</v>
      </c>
      <c r="AC26" s="475">
        <f t="shared" si="20"/>
        <v>0</v>
      </c>
      <c r="AD26" s="475">
        <f t="shared" si="21"/>
        <v>0</v>
      </c>
      <c r="AE26" s="475">
        <f t="shared" si="22"/>
        <v>0</v>
      </c>
      <c r="AF26" s="476">
        <f t="shared" si="23"/>
        <v>0</v>
      </c>
      <c r="AG26" s="475">
        <f t="shared" si="24"/>
        <v>0</v>
      </c>
      <c r="AH26" s="476">
        <f t="shared" si="25"/>
        <v>0</v>
      </c>
      <c r="AI26" s="475">
        <f t="shared" si="26"/>
        <v>0</v>
      </c>
      <c r="AJ26" s="477">
        <f>IF((D26&lt;&gt;""),VLOOKUP(D26,Données!$E$36:$H$59,4,FALSE),)</f>
        <v>0</v>
      </c>
      <c r="AK26" s="477">
        <f t="shared" si="27"/>
        <v>0</v>
      </c>
      <c r="AL26" s="478">
        <f t="shared" si="28"/>
        <v>0</v>
      </c>
      <c r="AM26" s="479">
        <f t="shared" si="12"/>
        <v>0</v>
      </c>
      <c r="AN26" s="480">
        <f t="shared" si="13"/>
        <v>0</v>
      </c>
      <c r="AO26" s="477">
        <f t="shared" si="14"/>
        <v>0</v>
      </c>
      <c r="AP26" s="481">
        <f t="shared" si="29"/>
        <v>0</v>
      </c>
      <c r="AQ26" s="481">
        <f t="shared" si="30"/>
        <v>0</v>
      </c>
      <c r="AR26" s="481">
        <f t="shared" si="31"/>
        <v>0</v>
      </c>
      <c r="AS26" s="481">
        <f t="shared" si="32"/>
        <v>0</v>
      </c>
      <c r="AT26" s="479">
        <f t="shared" si="15"/>
        <v>0</v>
      </c>
      <c r="AU26" s="479">
        <f t="shared" si="16"/>
        <v>0</v>
      </c>
      <c r="AV26" s="471">
        <f>IF(Données!$H$8="x",AW26,AX26)</f>
        <v>4.4333333333333318</v>
      </c>
      <c r="AW26" s="471">
        <f t="shared" si="2"/>
        <v>2.2166666666666659</v>
      </c>
      <c r="AX26" s="471">
        <f t="shared" si="39"/>
        <v>4.4333333333333318</v>
      </c>
      <c r="AY26" s="467" t="str">
        <f t="shared" si="18"/>
        <v>Ma</v>
      </c>
      <c r="AZ26" s="7">
        <f>IF((S40="M7")*AND(S41&lt;&gt;""),VLOOKUP(S41,Échelle!$BV$5:$BW$31,2),)</f>
        <v>0</v>
      </c>
      <c r="BA26" s="4" t="s">
        <v>19</v>
      </c>
      <c r="BB26" s="148"/>
    </row>
    <row r="27" spans="2:54" x14ac:dyDescent="0.2">
      <c r="B27" s="467" t="s">
        <v>178</v>
      </c>
      <c r="C27" s="468" t="s">
        <v>626</v>
      </c>
      <c r="D27" s="469"/>
      <c r="E27" s="469"/>
      <c r="F27" s="470"/>
      <c r="G27" s="470"/>
      <c r="H27" s="470"/>
      <c r="I27" s="470"/>
      <c r="J27" s="487"/>
      <c r="K27" s="487"/>
      <c r="L27" s="488">
        <f t="shared" si="0"/>
        <v>0</v>
      </c>
      <c r="M27" s="471">
        <f t="shared" si="33"/>
        <v>1.2666666666666666</v>
      </c>
      <c r="N27" s="488">
        <f>IF(Nov!$H$47="x",AV27+Nov!$N$36,AV27)</f>
        <v>11.716666666666661</v>
      </c>
      <c r="O27" s="483" t="str">
        <f t="shared" si="3"/>
        <v>-</v>
      </c>
      <c r="P27" s="489">
        <f t="shared" si="4"/>
        <v>10.449999999999996</v>
      </c>
      <c r="Q27" s="474">
        <f t="shared" si="5"/>
        <v>0</v>
      </c>
      <c r="R27" s="474">
        <f t="shared" si="6"/>
        <v>0</v>
      </c>
      <c r="S27" s="474">
        <f t="shared" si="7"/>
        <v>0</v>
      </c>
      <c r="T27" s="474">
        <f t="shared" si="8"/>
        <v>0</v>
      </c>
      <c r="U27" s="488">
        <f t="shared" si="9"/>
        <v>0</v>
      </c>
      <c r="V27" s="488">
        <f t="shared" si="38"/>
        <v>0</v>
      </c>
      <c r="W27" s="471">
        <f t="shared" si="10"/>
        <v>0</v>
      </c>
      <c r="X27" s="471">
        <f t="shared" si="11"/>
        <v>0</v>
      </c>
      <c r="Y27" s="470"/>
      <c r="Z27" s="470"/>
      <c r="AA27" s="469"/>
      <c r="AB27" s="475">
        <f t="shared" si="19"/>
        <v>0</v>
      </c>
      <c r="AC27" s="475">
        <f t="shared" si="20"/>
        <v>0</v>
      </c>
      <c r="AD27" s="475">
        <f t="shared" si="21"/>
        <v>0</v>
      </c>
      <c r="AE27" s="475">
        <f t="shared" si="22"/>
        <v>0</v>
      </c>
      <c r="AF27" s="476">
        <f t="shared" si="23"/>
        <v>0</v>
      </c>
      <c r="AG27" s="475">
        <f t="shared" si="24"/>
        <v>0</v>
      </c>
      <c r="AH27" s="476">
        <f t="shared" si="25"/>
        <v>0</v>
      </c>
      <c r="AI27" s="475">
        <f t="shared" si="26"/>
        <v>0</v>
      </c>
      <c r="AJ27" s="477">
        <f>IF((D27&lt;&gt;""),VLOOKUP(D27,Données!$E$36:$H$59,4,FALSE),)</f>
        <v>0</v>
      </c>
      <c r="AK27" s="477">
        <f t="shared" si="27"/>
        <v>0</v>
      </c>
      <c r="AL27" s="478">
        <f t="shared" si="28"/>
        <v>0</v>
      </c>
      <c r="AM27" s="479">
        <f t="shared" si="12"/>
        <v>0</v>
      </c>
      <c r="AN27" s="480">
        <f t="shared" si="13"/>
        <v>0</v>
      </c>
      <c r="AO27" s="477">
        <f t="shared" si="14"/>
        <v>0</v>
      </c>
      <c r="AP27" s="481">
        <f t="shared" si="29"/>
        <v>0</v>
      </c>
      <c r="AQ27" s="481">
        <f t="shared" si="30"/>
        <v>0</v>
      </c>
      <c r="AR27" s="481">
        <f t="shared" si="31"/>
        <v>0</v>
      </c>
      <c r="AS27" s="481">
        <f t="shared" si="32"/>
        <v>0</v>
      </c>
      <c r="AT27" s="479">
        <f t="shared" si="15"/>
        <v>0</v>
      </c>
      <c r="AU27" s="479">
        <f t="shared" si="16"/>
        <v>0</v>
      </c>
      <c r="AV27" s="471">
        <f>IF(Données!$H$8="x",AW27,AX27)</f>
        <v>4.7499999999999982</v>
      </c>
      <c r="AW27" s="471">
        <f t="shared" si="2"/>
        <v>2.3749999999999991</v>
      </c>
      <c r="AX27" s="471">
        <f t="shared" si="39"/>
        <v>4.7499999999999982</v>
      </c>
      <c r="AY27" s="467" t="str">
        <f t="shared" si="18"/>
        <v>Me</v>
      </c>
      <c r="AZ27" s="7">
        <f>IF((S40="M7bis")*AND(S41&lt;&gt;""),VLOOKUP(S41,Échelle!$BY$5:$BZ$31,2),)</f>
        <v>0</v>
      </c>
      <c r="BA27" s="4" t="s">
        <v>20</v>
      </c>
      <c r="BB27" s="148"/>
    </row>
    <row r="28" spans="2:54" ht="13.5" customHeight="1" x14ac:dyDescent="0.2">
      <c r="B28" s="467" t="s">
        <v>180</v>
      </c>
      <c r="C28" s="468" t="s">
        <v>627</v>
      </c>
      <c r="D28" s="469"/>
      <c r="E28" s="469"/>
      <c r="F28" s="470"/>
      <c r="G28" s="470"/>
      <c r="H28" s="470"/>
      <c r="I28" s="470"/>
      <c r="J28" s="487"/>
      <c r="K28" s="487"/>
      <c r="L28" s="488">
        <f t="shared" si="0"/>
        <v>0</v>
      </c>
      <c r="M28" s="471">
        <f t="shared" si="33"/>
        <v>1.2666666666666666</v>
      </c>
      <c r="N28" s="488">
        <f>IF(Nov!$H$47="x",AV28+Nov!$N$36,AV28)</f>
        <v>12.033333333333328</v>
      </c>
      <c r="O28" s="483" t="str">
        <f t="shared" si="3"/>
        <v>-</v>
      </c>
      <c r="P28" s="489">
        <f t="shared" si="4"/>
        <v>10.766666666666662</v>
      </c>
      <c r="Q28" s="474">
        <f t="shared" si="5"/>
        <v>0</v>
      </c>
      <c r="R28" s="474">
        <f t="shared" si="6"/>
        <v>0</v>
      </c>
      <c r="S28" s="474">
        <f t="shared" si="7"/>
        <v>0</v>
      </c>
      <c r="T28" s="474">
        <f t="shared" si="8"/>
        <v>0</v>
      </c>
      <c r="U28" s="488">
        <f t="shared" si="9"/>
        <v>0</v>
      </c>
      <c r="V28" s="488">
        <f t="shared" si="38"/>
        <v>0</v>
      </c>
      <c r="W28" s="471">
        <f t="shared" si="10"/>
        <v>0</v>
      </c>
      <c r="X28" s="471">
        <f t="shared" si="11"/>
        <v>0</v>
      </c>
      <c r="Y28" s="470"/>
      <c r="Z28" s="470"/>
      <c r="AA28" s="469"/>
      <c r="AB28" s="475">
        <f t="shared" si="19"/>
        <v>0</v>
      </c>
      <c r="AC28" s="475">
        <f t="shared" si="20"/>
        <v>0</v>
      </c>
      <c r="AD28" s="475">
        <f t="shared" si="21"/>
        <v>0</v>
      </c>
      <c r="AE28" s="475">
        <f t="shared" si="22"/>
        <v>0</v>
      </c>
      <c r="AF28" s="476">
        <f t="shared" si="23"/>
        <v>0</v>
      </c>
      <c r="AG28" s="475">
        <f t="shared" si="24"/>
        <v>0</v>
      </c>
      <c r="AH28" s="476">
        <f t="shared" si="25"/>
        <v>0</v>
      </c>
      <c r="AI28" s="475">
        <f t="shared" si="26"/>
        <v>0</v>
      </c>
      <c r="AJ28" s="477">
        <f>IF((D28&lt;&gt;""),VLOOKUP(D28,Données!$E$36:$H$59,4,FALSE),)</f>
        <v>0</v>
      </c>
      <c r="AK28" s="477">
        <f t="shared" si="27"/>
        <v>0</v>
      </c>
      <c r="AL28" s="478">
        <f t="shared" si="28"/>
        <v>0</v>
      </c>
      <c r="AM28" s="479">
        <f t="shared" si="12"/>
        <v>0</v>
      </c>
      <c r="AN28" s="480">
        <f t="shared" si="13"/>
        <v>0</v>
      </c>
      <c r="AO28" s="477">
        <f t="shared" si="14"/>
        <v>0</v>
      </c>
      <c r="AP28" s="481">
        <f t="shared" si="29"/>
        <v>0</v>
      </c>
      <c r="AQ28" s="481">
        <f t="shared" si="30"/>
        <v>0</v>
      </c>
      <c r="AR28" s="481">
        <f t="shared" si="31"/>
        <v>0</v>
      </c>
      <c r="AS28" s="481">
        <f t="shared" si="32"/>
        <v>0</v>
      </c>
      <c r="AT28" s="479">
        <f t="shared" si="15"/>
        <v>0</v>
      </c>
      <c r="AU28" s="479">
        <f t="shared" si="16"/>
        <v>0</v>
      </c>
      <c r="AV28" s="471">
        <f>IF(Données!$H$8="x",AW28,AX28)</f>
        <v>5.0666666666666647</v>
      </c>
      <c r="AW28" s="471">
        <f t="shared" si="2"/>
        <v>2.5333333333333323</v>
      </c>
      <c r="AX28" s="471">
        <f t="shared" si="39"/>
        <v>5.0666666666666647</v>
      </c>
      <c r="AY28" s="467" t="str">
        <f t="shared" si="18"/>
        <v>Je</v>
      </c>
      <c r="AZ28" s="7">
        <f>IF((S40="O1")*AND(S41&lt;&gt;""),VLOOKUP(S41,Échelle!$Q$39:$R$65,2),)</f>
        <v>0</v>
      </c>
      <c r="BA28" s="4" t="s">
        <v>22</v>
      </c>
      <c r="BB28" s="148"/>
    </row>
    <row r="29" spans="2:54" x14ac:dyDescent="0.2">
      <c r="B29" s="467" t="s">
        <v>182</v>
      </c>
      <c r="C29" s="468" t="s">
        <v>628</v>
      </c>
      <c r="D29" s="469"/>
      <c r="E29" s="469"/>
      <c r="F29" s="470"/>
      <c r="G29" s="470"/>
      <c r="H29" s="470"/>
      <c r="I29" s="470"/>
      <c r="J29" s="487"/>
      <c r="K29" s="487"/>
      <c r="L29" s="488">
        <f t="shared" si="0"/>
        <v>0</v>
      </c>
      <c r="M29" s="471">
        <f>M28+L29</f>
        <v>1.2666666666666666</v>
      </c>
      <c r="N29" s="488">
        <f>IF(Nov!$H$47="x",AV29+Nov!$N$36,AV29)</f>
        <v>12.349999999999994</v>
      </c>
      <c r="O29" s="483" t="str">
        <f t="shared" si="3"/>
        <v>-</v>
      </c>
      <c r="P29" s="489">
        <f t="shared" si="4"/>
        <v>11.083333333333329</v>
      </c>
      <c r="Q29" s="474">
        <f t="shared" si="5"/>
        <v>0</v>
      </c>
      <c r="R29" s="474">
        <f t="shared" si="6"/>
        <v>0</v>
      </c>
      <c r="S29" s="474">
        <f t="shared" si="7"/>
        <v>0</v>
      </c>
      <c r="T29" s="474">
        <f t="shared" si="8"/>
        <v>0</v>
      </c>
      <c r="U29" s="488">
        <f t="shared" si="9"/>
        <v>0</v>
      </c>
      <c r="V29" s="488">
        <f t="shared" si="38"/>
        <v>0</v>
      </c>
      <c r="W29" s="471">
        <f t="shared" si="10"/>
        <v>0</v>
      </c>
      <c r="X29" s="471">
        <f t="shared" si="11"/>
        <v>0</v>
      </c>
      <c r="Y29" s="470"/>
      <c r="Z29" s="470"/>
      <c r="AA29" s="469"/>
      <c r="AB29" s="475">
        <f t="shared" si="19"/>
        <v>0</v>
      </c>
      <c r="AC29" s="475">
        <f t="shared" si="20"/>
        <v>0</v>
      </c>
      <c r="AD29" s="475">
        <f t="shared" si="21"/>
        <v>0</v>
      </c>
      <c r="AE29" s="475">
        <f t="shared" si="22"/>
        <v>0</v>
      </c>
      <c r="AF29" s="476">
        <f t="shared" si="23"/>
        <v>0</v>
      </c>
      <c r="AG29" s="475">
        <f t="shared" si="24"/>
        <v>0</v>
      </c>
      <c r="AH29" s="476">
        <f t="shared" si="25"/>
        <v>0</v>
      </c>
      <c r="AI29" s="475">
        <f t="shared" si="26"/>
        <v>0</v>
      </c>
      <c r="AJ29" s="477">
        <f>IF((D29&lt;&gt;""),VLOOKUP(D29,Données!$E$36:$H$59,4,FALSE),)</f>
        <v>0</v>
      </c>
      <c r="AK29" s="477">
        <f t="shared" si="27"/>
        <v>0</v>
      </c>
      <c r="AL29" s="478">
        <f t="shared" si="28"/>
        <v>0</v>
      </c>
      <c r="AM29" s="479">
        <f t="shared" si="12"/>
        <v>0</v>
      </c>
      <c r="AN29" s="480">
        <f t="shared" si="13"/>
        <v>0</v>
      </c>
      <c r="AO29" s="477">
        <f t="shared" si="14"/>
        <v>0</v>
      </c>
      <c r="AP29" s="481">
        <f t="shared" si="29"/>
        <v>0</v>
      </c>
      <c r="AQ29" s="481">
        <f t="shared" si="30"/>
        <v>0</v>
      </c>
      <c r="AR29" s="481">
        <f t="shared" si="31"/>
        <v>0</v>
      </c>
      <c r="AS29" s="481">
        <f t="shared" si="32"/>
        <v>0</v>
      </c>
      <c r="AT29" s="479">
        <f t="shared" si="15"/>
        <v>0</v>
      </c>
      <c r="AU29" s="479">
        <f t="shared" si="16"/>
        <v>0</v>
      </c>
      <c r="AV29" s="471">
        <f>IF(Données!$H$8="x",AW29,AX29)</f>
        <v>5.3833333333333311</v>
      </c>
      <c r="AW29" s="471">
        <f t="shared" si="2"/>
        <v>2.6916666666666655</v>
      </c>
      <c r="AX29" s="471">
        <f t="shared" si="39"/>
        <v>5.3833333333333311</v>
      </c>
      <c r="AY29" s="467" t="str">
        <f t="shared" si="18"/>
        <v>Ve</v>
      </c>
      <c r="AZ29" s="7">
        <f>IF((S40="O2")*AND(S41&lt;&gt;""),VLOOKUP(S41,Échelle!$T$39:$U$65,2),)</f>
        <v>0</v>
      </c>
      <c r="BA29" s="4" t="s">
        <v>23</v>
      </c>
      <c r="BB29" s="148"/>
    </row>
    <row r="30" spans="2:54" x14ac:dyDescent="0.2">
      <c r="B30" s="403" t="s">
        <v>184</v>
      </c>
      <c r="C30" s="412" t="s">
        <v>629</v>
      </c>
      <c r="D30" s="411"/>
      <c r="E30" s="411"/>
      <c r="F30" s="401"/>
      <c r="G30" s="401"/>
      <c r="H30" s="401"/>
      <c r="I30" s="401"/>
      <c r="J30" s="406"/>
      <c r="K30" s="406"/>
      <c r="L30" s="407">
        <f>(G30-F30)+(I30-H30)+(K30-J30)</f>
        <v>0</v>
      </c>
      <c r="M30" s="402">
        <f>M29+L30</f>
        <v>1.2666666666666666</v>
      </c>
      <c r="N30" s="407">
        <f>IF(Nov!$H$47="x",AV30+Nov!$N$36,AV30)</f>
        <v>12.349999999999994</v>
      </c>
      <c r="O30" s="408" t="str">
        <f t="shared" si="3"/>
        <v>-</v>
      </c>
      <c r="P30" s="409">
        <f t="shared" si="4"/>
        <v>11.083333333333329</v>
      </c>
      <c r="Q30" s="410">
        <f t="shared" si="5"/>
        <v>0</v>
      </c>
      <c r="R30" s="410">
        <f t="shared" si="6"/>
        <v>0</v>
      </c>
      <c r="S30" s="410">
        <f t="shared" si="7"/>
        <v>0</v>
      </c>
      <c r="T30" s="410">
        <f t="shared" si="8"/>
        <v>0</v>
      </c>
      <c r="U30" s="407">
        <f t="shared" si="9"/>
        <v>0</v>
      </c>
      <c r="V30" s="407">
        <f>L30</f>
        <v>0</v>
      </c>
      <c r="W30" s="402">
        <f t="shared" si="10"/>
        <v>0</v>
      </c>
      <c r="X30" s="402">
        <f t="shared" si="11"/>
        <v>0</v>
      </c>
      <c r="Y30" s="401"/>
      <c r="Z30" s="401"/>
      <c r="AA30" s="411"/>
      <c r="AB30" s="420">
        <f t="shared" si="19"/>
        <v>0</v>
      </c>
      <c r="AC30" s="420">
        <f t="shared" si="20"/>
        <v>0</v>
      </c>
      <c r="AD30" s="420">
        <f t="shared" si="21"/>
        <v>0</v>
      </c>
      <c r="AE30" s="420">
        <f t="shared" si="22"/>
        <v>0</v>
      </c>
      <c r="AF30" s="421">
        <f t="shared" si="23"/>
        <v>0</v>
      </c>
      <c r="AG30" s="420">
        <f t="shared" si="24"/>
        <v>0</v>
      </c>
      <c r="AH30" s="421">
        <f t="shared" si="25"/>
        <v>0</v>
      </c>
      <c r="AI30" s="420">
        <f t="shared" si="26"/>
        <v>0</v>
      </c>
      <c r="AJ30" s="422">
        <f>IF((D30&lt;&gt;""),VLOOKUP(D30,Données!$E$36:$H$59,4,FALSE),)</f>
        <v>0</v>
      </c>
      <c r="AK30" s="422">
        <f t="shared" si="27"/>
        <v>0</v>
      </c>
      <c r="AL30" s="423">
        <f t="shared" si="28"/>
        <v>0</v>
      </c>
      <c r="AM30" s="424">
        <f t="shared" si="12"/>
        <v>0</v>
      </c>
      <c r="AN30" s="425">
        <f t="shared" si="13"/>
        <v>0</v>
      </c>
      <c r="AO30" s="422">
        <f t="shared" si="14"/>
        <v>0</v>
      </c>
      <c r="AP30" s="426">
        <f t="shared" si="29"/>
        <v>0</v>
      </c>
      <c r="AQ30" s="426">
        <f t="shared" si="30"/>
        <v>0</v>
      </c>
      <c r="AR30" s="426">
        <f t="shared" si="31"/>
        <v>0</v>
      </c>
      <c r="AS30" s="426">
        <f t="shared" si="32"/>
        <v>0</v>
      </c>
      <c r="AT30" s="424">
        <f t="shared" si="15"/>
        <v>0</v>
      </c>
      <c r="AU30" s="424">
        <f t="shared" si="16"/>
        <v>0</v>
      </c>
      <c r="AV30" s="402">
        <f>IF(Données!$H$8="x",AW30,AX30)</f>
        <v>5.3833333333333311</v>
      </c>
      <c r="AW30" s="402">
        <f t="shared" si="2"/>
        <v>2.6916666666666655</v>
      </c>
      <c r="AX30" s="402">
        <f>AX29</f>
        <v>5.3833333333333311</v>
      </c>
      <c r="AY30" s="403" t="str">
        <f t="shared" si="18"/>
        <v>Sa</v>
      </c>
      <c r="AZ30" s="423">
        <f>IF((S40="O2ir")*AND(S41&lt;&gt;""),VLOOKUP(S41,Échelle!$AR$39:$AS$65,2),)</f>
        <v>0</v>
      </c>
      <c r="BA30" s="424" t="s">
        <v>31</v>
      </c>
      <c r="BB30" s="148"/>
    </row>
    <row r="31" spans="2:54" x14ac:dyDescent="0.2">
      <c r="B31" s="403" t="s">
        <v>186</v>
      </c>
      <c r="C31" s="412" t="s">
        <v>630</v>
      </c>
      <c r="D31" s="411"/>
      <c r="E31" s="411"/>
      <c r="F31" s="401"/>
      <c r="G31" s="401"/>
      <c r="H31" s="401"/>
      <c r="I31" s="401"/>
      <c r="J31" s="406"/>
      <c r="K31" s="406"/>
      <c r="L31" s="407">
        <f>(G31-F31)+(I31-H31)+(K31-J31)</f>
        <v>0</v>
      </c>
      <c r="M31" s="402">
        <f t="shared" si="33"/>
        <v>1.2666666666666666</v>
      </c>
      <c r="N31" s="407">
        <f>IF(Nov!$H$47="x",AV31+Nov!$N$36,AV31)</f>
        <v>12.349999999999994</v>
      </c>
      <c r="O31" s="408" t="str">
        <f t="shared" si="3"/>
        <v>-</v>
      </c>
      <c r="P31" s="409">
        <f t="shared" si="4"/>
        <v>11.083333333333329</v>
      </c>
      <c r="Q31" s="410">
        <f t="shared" si="5"/>
        <v>0</v>
      </c>
      <c r="R31" s="410">
        <f t="shared" si="6"/>
        <v>0</v>
      </c>
      <c r="S31" s="410">
        <f t="shared" si="7"/>
        <v>0</v>
      </c>
      <c r="T31" s="410">
        <f t="shared" si="8"/>
        <v>0</v>
      </c>
      <c r="U31" s="407">
        <f t="shared" si="9"/>
        <v>0</v>
      </c>
      <c r="V31" s="407">
        <f>L31</f>
        <v>0</v>
      </c>
      <c r="W31" s="402">
        <f t="shared" si="10"/>
        <v>0</v>
      </c>
      <c r="X31" s="402">
        <f t="shared" si="11"/>
        <v>0</v>
      </c>
      <c r="Y31" s="411"/>
      <c r="Z31" s="401"/>
      <c r="AA31" s="401"/>
      <c r="AB31" s="420">
        <f t="shared" si="19"/>
        <v>0</v>
      </c>
      <c r="AC31" s="420">
        <f t="shared" si="20"/>
        <v>0</v>
      </c>
      <c r="AD31" s="420">
        <f t="shared" si="21"/>
        <v>0</v>
      </c>
      <c r="AE31" s="420">
        <f t="shared" si="22"/>
        <v>0</v>
      </c>
      <c r="AF31" s="421">
        <f t="shared" si="23"/>
        <v>0</v>
      </c>
      <c r="AG31" s="420">
        <f t="shared" si="24"/>
        <v>0</v>
      </c>
      <c r="AH31" s="421">
        <f t="shared" si="25"/>
        <v>0</v>
      </c>
      <c r="AI31" s="420">
        <f t="shared" si="26"/>
        <v>0</v>
      </c>
      <c r="AJ31" s="422">
        <f>IF((D31&lt;&gt;""),VLOOKUP(D31,Données!$E$36:$H$59,4,FALSE),)</f>
        <v>0</v>
      </c>
      <c r="AK31" s="422">
        <f t="shared" si="27"/>
        <v>0</v>
      </c>
      <c r="AL31" s="423">
        <f t="shared" si="28"/>
        <v>0</v>
      </c>
      <c r="AM31" s="424">
        <f t="shared" si="12"/>
        <v>0</v>
      </c>
      <c r="AN31" s="425">
        <f t="shared" si="13"/>
        <v>0</v>
      </c>
      <c r="AO31" s="422">
        <f t="shared" si="14"/>
        <v>0</v>
      </c>
      <c r="AP31" s="426">
        <f t="shared" si="29"/>
        <v>0</v>
      </c>
      <c r="AQ31" s="426">
        <f t="shared" si="30"/>
        <v>0</v>
      </c>
      <c r="AR31" s="426">
        <f t="shared" si="31"/>
        <v>0</v>
      </c>
      <c r="AS31" s="426">
        <f t="shared" si="32"/>
        <v>0</v>
      </c>
      <c r="AT31" s="424">
        <f t="shared" si="15"/>
        <v>0</v>
      </c>
      <c r="AU31" s="424">
        <f t="shared" si="16"/>
        <v>0</v>
      </c>
      <c r="AV31" s="402">
        <f>IF(Données!$H$8="x",AW31,AX31)</f>
        <v>5.3833333333333311</v>
      </c>
      <c r="AW31" s="402">
        <f t="shared" si="2"/>
        <v>2.6916666666666655</v>
      </c>
      <c r="AX31" s="402">
        <f>AX30</f>
        <v>5.3833333333333311</v>
      </c>
      <c r="AY31" s="403" t="str">
        <f t="shared" si="18"/>
        <v>Di</v>
      </c>
      <c r="AZ31" s="423">
        <f>IF((S40="O3")*AND(S41&lt;&gt;""),VLOOKUP(S41,Échelle!$W$39:$X$65,2),)</f>
        <v>0</v>
      </c>
      <c r="BA31" s="424" t="s">
        <v>24</v>
      </c>
      <c r="BB31" s="148"/>
    </row>
    <row r="32" spans="2:54" x14ac:dyDescent="0.2">
      <c r="B32" s="430" t="s">
        <v>188</v>
      </c>
      <c r="C32" s="431" t="s">
        <v>631</v>
      </c>
      <c r="D32" s="432" t="s">
        <v>84</v>
      </c>
      <c r="E32" s="432"/>
      <c r="F32" s="433"/>
      <c r="G32" s="433"/>
      <c r="H32" s="433"/>
      <c r="I32" s="433"/>
      <c r="J32" s="438"/>
      <c r="K32" s="438"/>
      <c r="L32" s="434">
        <f>(G32-F32)+(I32-H32)+(K32-J32)+AJ32+AO32</f>
        <v>0.31666666666666665</v>
      </c>
      <c r="M32" s="434">
        <f t="shared" si="33"/>
        <v>1.5833333333333333</v>
      </c>
      <c r="N32" s="439">
        <f>IF(Nov!$H$47="x",AV32+Nov!$N$36,AV32)</f>
        <v>12.666666666666661</v>
      </c>
      <c r="O32" s="440" t="str">
        <f t="shared" si="3"/>
        <v>-</v>
      </c>
      <c r="P32" s="441">
        <f t="shared" si="4"/>
        <v>11.083333333333327</v>
      </c>
      <c r="Q32" s="436">
        <f t="shared" si="5"/>
        <v>0</v>
      </c>
      <c r="R32" s="436">
        <f t="shared" si="6"/>
        <v>0</v>
      </c>
      <c r="S32" s="436">
        <f t="shared" si="7"/>
        <v>0</v>
      </c>
      <c r="T32" s="436">
        <f t="shared" si="8"/>
        <v>0</v>
      </c>
      <c r="U32" s="439">
        <f t="shared" si="9"/>
        <v>0</v>
      </c>
      <c r="V32" s="434">
        <f>IF(D32="F",L32,0)</f>
        <v>0</v>
      </c>
      <c r="W32" s="434">
        <f t="shared" si="10"/>
        <v>0</v>
      </c>
      <c r="X32" s="434">
        <f t="shared" si="11"/>
        <v>0</v>
      </c>
      <c r="Y32" s="432"/>
      <c r="Z32" s="433"/>
      <c r="AA32" s="433"/>
      <c r="AB32" s="442">
        <f t="shared" si="19"/>
        <v>0</v>
      </c>
      <c r="AC32" s="442">
        <f t="shared" si="20"/>
        <v>0</v>
      </c>
      <c r="AD32" s="442">
        <f t="shared" si="21"/>
        <v>0</v>
      </c>
      <c r="AE32" s="442">
        <f t="shared" si="22"/>
        <v>0</v>
      </c>
      <c r="AF32" s="443">
        <f t="shared" si="23"/>
        <v>0</v>
      </c>
      <c r="AG32" s="442">
        <f t="shared" si="24"/>
        <v>0</v>
      </c>
      <c r="AH32" s="443">
        <f t="shared" si="25"/>
        <v>0</v>
      </c>
      <c r="AI32" s="442">
        <f t="shared" si="26"/>
        <v>0</v>
      </c>
      <c r="AJ32" s="444">
        <f>IF((D32&lt;&gt;""),VLOOKUP(D32,Données!$E$36:$H$59,4,FALSE),)</f>
        <v>0.31666666666666665</v>
      </c>
      <c r="AK32" s="444">
        <f t="shared" si="27"/>
        <v>0</v>
      </c>
      <c r="AL32" s="445" t="str">
        <f t="shared" si="28"/>
        <v>FC</v>
      </c>
      <c r="AM32" s="446">
        <f t="shared" si="12"/>
        <v>0</v>
      </c>
      <c r="AN32" s="447">
        <f t="shared" si="13"/>
        <v>0</v>
      </c>
      <c r="AO32" s="444">
        <f t="shared" si="14"/>
        <v>0</v>
      </c>
      <c r="AP32" s="448">
        <f t="shared" si="29"/>
        <v>0</v>
      </c>
      <c r="AQ32" s="448">
        <f t="shared" si="30"/>
        <v>0</v>
      </c>
      <c r="AR32" s="448">
        <f t="shared" si="31"/>
        <v>0</v>
      </c>
      <c r="AS32" s="448">
        <f t="shared" si="32"/>
        <v>0</v>
      </c>
      <c r="AT32" s="446">
        <f t="shared" si="15"/>
        <v>0</v>
      </c>
      <c r="AU32" s="446">
        <f t="shared" si="16"/>
        <v>0</v>
      </c>
      <c r="AV32" s="434">
        <f>IF(Données!$H$8="x",AW32,AX32)</f>
        <v>5.6999999999999975</v>
      </c>
      <c r="AW32" s="434">
        <f t="shared" si="2"/>
        <v>2.8499999999999988</v>
      </c>
      <c r="AX32" s="434">
        <f>IF(D31="L",AX31,(AX31+"7:36"))</f>
        <v>5.6999999999999975</v>
      </c>
      <c r="AY32" s="430" t="str">
        <f t="shared" si="18"/>
        <v>Lu</v>
      </c>
      <c r="AZ32" s="445">
        <f>IF((S40="O3ir")*AND(S41&lt;&gt;""),VLOOKUP(S41,Échelle!$AU$39:$AV$65,2),)</f>
        <v>0</v>
      </c>
      <c r="BA32" s="446" t="s">
        <v>32</v>
      </c>
      <c r="BB32" s="148"/>
    </row>
    <row r="33" spans="2:54" x14ac:dyDescent="0.2">
      <c r="B33" s="467" t="s">
        <v>176</v>
      </c>
      <c r="C33" s="468" t="s">
        <v>632</v>
      </c>
      <c r="D33" s="469"/>
      <c r="E33" s="469"/>
      <c r="F33" s="470"/>
      <c r="G33" s="470"/>
      <c r="H33" s="470"/>
      <c r="I33" s="470"/>
      <c r="J33" s="487"/>
      <c r="K33" s="487"/>
      <c r="L33" s="471">
        <f>(G33-F33)+(I33-H33)+(K33-J33)+AJ33+AO33</f>
        <v>0</v>
      </c>
      <c r="M33" s="471">
        <f t="shared" si="33"/>
        <v>1.5833333333333333</v>
      </c>
      <c r="N33" s="488">
        <f>IF(Nov!$H$47="x",AV33+Nov!$N$36,AV33)</f>
        <v>12.983333333333327</v>
      </c>
      <c r="O33" s="483" t="str">
        <f t="shared" si="3"/>
        <v>-</v>
      </c>
      <c r="P33" s="489">
        <f t="shared" si="4"/>
        <v>11.399999999999993</v>
      </c>
      <c r="Q33" s="474">
        <f t="shared" si="5"/>
        <v>0</v>
      </c>
      <c r="R33" s="474">
        <f t="shared" si="6"/>
        <v>0</v>
      </c>
      <c r="S33" s="474">
        <f t="shared" si="7"/>
        <v>0</v>
      </c>
      <c r="T33" s="474">
        <f t="shared" si="8"/>
        <v>0</v>
      </c>
      <c r="U33" s="488">
        <f t="shared" si="9"/>
        <v>0</v>
      </c>
      <c r="V33" s="471">
        <f>IF(D33="F",L33,0)</f>
        <v>0</v>
      </c>
      <c r="W33" s="471">
        <f t="shared" si="10"/>
        <v>0</v>
      </c>
      <c r="X33" s="471">
        <f t="shared" si="11"/>
        <v>0</v>
      </c>
      <c r="Y33" s="470"/>
      <c r="Z33" s="470"/>
      <c r="AA33" s="469"/>
      <c r="AB33" s="475">
        <f t="shared" si="19"/>
        <v>0</v>
      </c>
      <c r="AC33" s="475">
        <f t="shared" si="20"/>
        <v>0</v>
      </c>
      <c r="AD33" s="475">
        <f t="shared" si="21"/>
        <v>0</v>
      </c>
      <c r="AE33" s="475">
        <f t="shared" si="22"/>
        <v>0</v>
      </c>
      <c r="AF33" s="476">
        <f t="shared" si="23"/>
        <v>0</v>
      </c>
      <c r="AG33" s="475">
        <f t="shared" si="24"/>
        <v>0</v>
      </c>
      <c r="AH33" s="476">
        <f t="shared" si="25"/>
        <v>0</v>
      </c>
      <c r="AI33" s="475">
        <f t="shared" si="26"/>
        <v>0</v>
      </c>
      <c r="AJ33" s="477">
        <f>IF((D33&lt;&gt;""),VLOOKUP(D33,Données!$E$36:$H$59,4,FALSE),)</f>
        <v>0</v>
      </c>
      <c r="AK33" s="477">
        <f t="shared" si="27"/>
        <v>0</v>
      </c>
      <c r="AL33" s="478">
        <f t="shared" si="28"/>
        <v>0</v>
      </c>
      <c r="AM33" s="479">
        <f t="shared" si="12"/>
        <v>0</v>
      </c>
      <c r="AN33" s="480">
        <f t="shared" si="13"/>
        <v>0</v>
      </c>
      <c r="AO33" s="477">
        <f t="shared" si="14"/>
        <v>0</v>
      </c>
      <c r="AP33" s="481">
        <f t="shared" si="29"/>
        <v>0</v>
      </c>
      <c r="AQ33" s="481">
        <f t="shared" si="30"/>
        <v>0</v>
      </c>
      <c r="AR33" s="481">
        <f t="shared" si="31"/>
        <v>0</v>
      </c>
      <c r="AS33" s="481">
        <f t="shared" si="32"/>
        <v>0</v>
      </c>
      <c r="AT33" s="479">
        <f t="shared" si="15"/>
        <v>0</v>
      </c>
      <c r="AU33" s="479">
        <f t="shared" si="16"/>
        <v>0</v>
      </c>
      <c r="AV33" s="471">
        <f>IF(Données!$H$8="x",AW33,AX33)</f>
        <v>6.0166666666666639</v>
      </c>
      <c r="AW33" s="471">
        <f t="shared" si="2"/>
        <v>3.008333333333332</v>
      </c>
      <c r="AX33" s="471">
        <f>IF(D32="L",AX32,(AX32+"7:36"))</f>
        <v>6.0166666666666639</v>
      </c>
      <c r="AY33" s="467" t="str">
        <f t="shared" si="18"/>
        <v>Ma</v>
      </c>
      <c r="AZ33" s="7">
        <f>IF((S40="O4")*AND(S41&lt;&gt;""),VLOOKUP(S41,Échelle!$Z$39:$AA$65,2),)</f>
        <v>0</v>
      </c>
      <c r="BA33" s="4" t="s">
        <v>25</v>
      </c>
      <c r="BB33" s="148"/>
    </row>
    <row r="34" spans="2:54" x14ac:dyDescent="0.2">
      <c r="B34" s="467" t="s">
        <v>178</v>
      </c>
      <c r="C34" s="468" t="s">
        <v>633</v>
      </c>
      <c r="D34" s="469"/>
      <c r="E34" s="469"/>
      <c r="F34" s="470"/>
      <c r="G34" s="470"/>
      <c r="H34" s="470"/>
      <c r="I34" s="470"/>
      <c r="J34" s="487"/>
      <c r="K34" s="487"/>
      <c r="L34" s="471">
        <f>(G34-F34)+(I34-H34)+(K34-J34)+AJ34+AO34</f>
        <v>0</v>
      </c>
      <c r="M34" s="471">
        <f t="shared" si="33"/>
        <v>1.5833333333333333</v>
      </c>
      <c r="N34" s="488">
        <f>IF(Nov!$H$47="x",AV34+Nov!$N$36,AV34)</f>
        <v>13.299999999999994</v>
      </c>
      <c r="O34" s="483" t="str">
        <f t="shared" si="3"/>
        <v>-</v>
      </c>
      <c r="P34" s="489">
        <f t="shared" si="4"/>
        <v>11.71666666666666</v>
      </c>
      <c r="Q34" s="474">
        <f t="shared" si="5"/>
        <v>0</v>
      </c>
      <c r="R34" s="474">
        <f t="shared" si="6"/>
        <v>0</v>
      </c>
      <c r="S34" s="474">
        <f t="shared" si="7"/>
        <v>0</v>
      </c>
      <c r="T34" s="474">
        <f t="shared" si="8"/>
        <v>0</v>
      </c>
      <c r="U34" s="488">
        <f t="shared" si="9"/>
        <v>0</v>
      </c>
      <c r="V34" s="471">
        <f>IF(D34="F",L34,0)</f>
        <v>0</v>
      </c>
      <c r="W34" s="471">
        <f t="shared" si="10"/>
        <v>0</v>
      </c>
      <c r="X34" s="471">
        <f t="shared" si="11"/>
        <v>0</v>
      </c>
      <c r="Y34" s="470"/>
      <c r="Z34" s="470"/>
      <c r="AA34" s="469"/>
      <c r="AB34" s="475">
        <f t="shared" si="19"/>
        <v>0</v>
      </c>
      <c r="AC34" s="475">
        <f t="shared" si="20"/>
        <v>0</v>
      </c>
      <c r="AD34" s="475">
        <f t="shared" si="21"/>
        <v>0</v>
      </c>
      <c r="AE34" s="475">
        <f t="shared" si="22"/>
        <v>0</v>
      </c>
      <c r="AF34" s="476">
        <f t="shared" si="23"/>
        <v>0</v>
      </c>
      <c r="AG34" s="475">
        <f t="shared" si="24"/>
        <v>0</v>
      </c>
      <c r="AH34" s="476">
        <f t="shared" si="25"/>
        <v>0</v>
      </c>
      <c r="AI34" s="475">
        <f t="shared" si="26"/>
        <v>0</v>
      </c>
      <c r="AJ34" s="477">
        <f>IF((D34&lt;&gt;""),VLOOKUP(D34,Données!$E$36:$H$59,4,FALSE),)</f>
        <v>0</v>
      </c>
      <c r="AK34" s="477">
        <f t="shared" si="27"/>
        <v>0</v>
      </c>
      <c r="AL34" s="478">
        <f t="shared" si="28"/>
        <v>0</v>
      </c>
      <c r="AM34" s="479">
        <f t="shared" si="12"/>
        <v>0</v>
      </c>
      <c r="AN34" s="480">
        <f t="shared" si="13"/>
        <v>0</v>
      </c>
      <c r="AO34" s="477">
        <f t="shared" si="14"/>
        <v>0</v>
      </c>
      <c r="AP34" s="481">
        <f t="shared" si="29"/>
        <v>0</v>
      </c>
      <c r="AQ34" s="481">
        <f t="shared" si="30"/>
        <v>0</v>
      </c>
      <c r="AR34" s="481">
        <f t="shared" si="31"/>
        <v>0</v>
      </c>
      <c r="AS34" s="481">
        <f t="shared" si="32"/>
        <v>0</v>
      </c>
      <c r="AT34" s="479">
        <f t="shared" si="15"/>
        <v>0</v>
      </c>
      <c r="AU34" s="479">
        <f t="shared" si="16"/>
        <v>0</v>
      </c>
      <c r="AV34" s="471">
        <f>IF(Données!$H$8="x",AW34,AX34)</f>
        <v>6.3333333333333304</v>
      </c>
      <c r="AW34" s="471">
        <f t="shared" si="2"/>
        <v>3.1666666666666652</v>
      </c>
      <c r="AX34" s="471">
        <f>IF(D33="L",AX33,(AX33+"7:36"))</f>
        <v>6.3333333333333304</v>
      </c>
      <c r="AY34" s="467" t="str">
        <f t="shared" si="18"/>
        <v>Me</v>
      </c>
      <c r="AZ34" s="7">
        <f>IF((S40="O4bis")*AND(S41&lt;&gt;""),VLOOKUP(S41,Échelle!$BG$39:$BH$65,2),)</f>
        <v>0</v>
      </c>
      <c r="BA34" s="4" t="s">
        <v>36</v>
      </c>
      <c r="BB34" s="148"/>
    </row>
    <row r="35" spans="2:54" x14ac:dyDescent="0.2">
      <c r="B35" s="467" t="s">
        <v>180</v>
      </c>
      <c r="C35" s="468" t="s">
        <v>634</v>
      </c>
      <c r="D35" s="469"/>
      <c r="E35" s="469"/>
      <c r="F35" s="470"/>
      <c r="G35" s="470"/>
      <c r="H35" s="470"/>
      <c r="I35" s="470"/>
      <c r="J35" s="487"/>
      <c r="K35" s="487"/>
      <c r="L35" s="471">
        <f>(G35-F35)+(I35-H35)+(K35-J35)+AJ35+AO35</f>
        <v>0</v>
      </c>
      <c r="M35" s="471">
        <f t="shared" si="33"/>
        <v>1.5833333333333333</v>
      </c>
      <c r="N35" s="488">
        <f>IF(Nov!$H$47="x",AV35+Nov!$N$36,AV35)</f>
        <v>13.61666666666666</v>
      </c>
      <c r="O35" s="483" t="str">
        <f t="shared" si="3"/>
        <v>-</v>
      </c>
      <c r="P35" s="489">
        <f t="shared" si="4"/>
        <v>12.033333333333326</v>
      </c>
      <c r="Q35" s="474">
        <f t="shared" si="5"/>
        <v>0</v>
      </c>
      <c r="R35" s="474">
        <f t="shared" si="6"/>
        <v>0</v>
      </c>
      <c r="S35" s="474">
        <f t="shared" si="7"/>
        <v>0</v>
      </c>
      <c r="T35" s="474">
        <f t="shared" si="8"/>
        <v>0</v>
      </c>
      <c r="U35" s="488">
        <f t="shared" si="9"/>
        <v>0</v>
      </c>
      <c r="V35" s="471">
        <f>IF(D35="F",L35,0)</f>
        <v>0</v>
      </c>
      <c r="W35" s="471">
        <f t="shared" si="10"/>
        <v>0</v>
      </c>
      <c r="X35" s="471">
        <f t="shared" si="11"/>
        <v>0</v>
      </c>
      <c r="Y35" s="470"/>
      <c r="Z35" s="470"/>
      <c r="AA35" s="469"/>
      <c r="AB35" s="475">
        <f t="shared" si="19"/>
        <v>0</v>
      </c>
      <c r="AC35" s="475">
        <f t="shared" si="20"/>
        <v>0</v>
      </c>
      <c r="AD35" s="475">
        <f t="shared" si="21"/>
        <v>0</v>
      </c>
      <c r="AE35" s="475">
        <f t="shared" si="22"/>
        <v>0</v>
      </c>
      <c r="AF35" s="476">
        <f t="shared" si="23"/>
        <v>0</v>
      </c>
      <c r="AG35" s="475">
        <f t="shared" si="24"/>
        <v>0</v>
      </c>
      <c r="AH35" s="476">
        <f t="shared" si="25"/>
        <v>0</v>
      </c>
      <c r="AI35" s="475">
        <f t="shared" si="26"/>
        <v>0</v>
      </c>
      <c r="AJ35" s="477">
        <f>IF((D35&lt;&gt;""),VLOOKUP(D35,Données!$E$36:$H$59,4,FALSE),)</f>
        <v>0</v>
      </c>
      <c r="AK35" s="477">
        <f t="shared" si="27"/>
        <v>0</v>
      </c>
      <c r="AL35" s="478">
        <f t="shared" si="28"/>
        <v>0</v>
      </c>
      <c r="AM35" s="479">
        <f t="shared" si="12"/>
        <v>0</v>
      </c>
      <c r="AN35" s="480">
        <f t="shared" si="13"/>
        <v>0</v>
      </c>
      <c r="AO35" s="477">
        <f t="shared" si="14"/>
        <v>0</v>
      </c>
      <c r="AP35" s="481">
        <f t="shared" si="29"/>
        <v>0</v>
      </c>
      <c r="AQ35" s="481">
        <f t="shared" si="30"/>
        <v>0</v>
      </c>
      <c r="AR35" s="481">
        <f t="shared" si="31"/>
        <v>0</v>
      </c>
      <c r="AS35" s="481">
        <f t="shared" si="32"/>
        <v>0</v>
      </c>
      <c r="AT35" s="479">
        <f t="shared" si="15"/>
        <v>0</v>
      </c>
      <c r="AU35" s="479">
        <f t="shared" si="16"/>
        <v>0</v>
      </c>
      <c r="AV35" s="471">
        <f>IF(Données!$H$8="x",AW35,AX35)</f>
        <v>6.6499999999999968</v>
      </c>
      <c r="AW35" s="471">
        <f t="shared" si="2"/>
        <v>3.3249999999999984</v>
      </c>
      <c r="AX35" s="471">
        <f>IF(D34="L",AX34,(AX34+"7:36"))</f>
        <v>6.6499999999999968</v>
      </c>
      <c r="AY35" s="467" t="str">
        <f t="shared" si="18"/>
        <v>Je</v>
      </c>
      <c r="AZ35" s="7">
        <f>IF((S40="O4bis-ir")*AND(S41&lt;&gt;""),VLOOKUP(S41,Échelle!$AO$39:$AP$65,2),)</f>
        <v>0</v>
      </c>
      <c r="BA35" s="4" t="s">
        <v>30</v>
      </c>
      <c r="BB35" s="148"/>
    </row>
    <row r="36" spans="2:54" x14ac:dyDescent="0.2">
      <c r="B36" s="467" t="s">
        <v>182</v>
      </c>
      <c r="C36" s="468" t="s">
        <v>635</v>
      </c>
      <c r="D36" s="469"/>
      <c r="E36" s="469"/>
      <c r="F36" s="470"/>
      <c r="G36" s="470"/>
      <c r="H36" s="470"/>
      <c r="I36" s="470"/>
      <c r="J36" s="487"/>
      <c r="K36" s="487"/>
      <c r="L36" s="471">
        <f>(G36-F36)+(I36-H36)+(K36-J36)+AJ36+AO36</f>
        <v>0</v>
      </c>
      <c r="M36" s="471">
        <f>M35+L36</f>
        <v>1.5833333333333333</v>
      </c>
      <c r="N36" s="488">
        <f>IF(Nov!$H$47="x",AV36+Nov!$N$36,AV36)</f>
        <v>13.933333333333326</v>
      </c>
      <c r="O36" s="483" t="str">
        <f t="shared" si="3"/>
        <v>-</v>
      </c>
      <c r="P36" s="489">
        <f t="shared" si="4"/>
        <v>12.349999999999993</v>
      </c>
      <c r="Q36" s="474">
        <f t="shared" si="5"/>
        <v>0</v>
      </c>
      <c r="R36" s="474">
        <f t="shared" si="6"/>
        <v>0</v>
      </c>
      <c r="S36" s="474">
        <f t="shared" si="7"/>
        <v>0</v>
      </c>
      <c r="T36" s="474">
        <f t="shared" si="8"/>
        <v>0</v>
      </c>
      <c r="U36" s="488">
        <f t="shared" si="9"/>
        <v>0</v>
      </c>
      <c r="V36" s="471">
        <f>IF(D36="F",L36,0)</f>
        <v>0</v>
      </c>
      <c r="W36" s="471">
        <f t="shared" si="10"/>
        <v>0</v>
      </c>
      <c r="X36" s="471">
        <f t="shared" si="11"/>
        <v>0</v>
      </c>
      <c r="Y36" s="470"/>
      <c r="Z36" s="470"/>
      <c r="AA36" s="469"/>
      <c r="AB36" s="475">
        <f t="shared" si="19"/>
        <v>0</v>
      </c>
      <c r="AC36" s="475">
        <f t="shared" si="20"/>
        <v>0</v>
      </c>
      <c r="AD36" s="475">
        <f t="shared" si="21"/>
        <v>0</v>
      </c>
      <c r="AE36" s="475">
        <f t="shared" si="22"/>
        <v>0</v>
      </c>
      <c r="AF36" s="476">
        <f t="shared" si="23"/>
        <v>0</v>
      </c>
      <c r="AG36" s="475">
        <f t="shared" si="24"/>
        <v>0</v>
      </c>
      <c r="AH36" s="476">
        <f t="shared" si="25"/>
        <v>0</v>
      </c>
      <c r="AI36" s="475">
        <f t="shared" si="26"/>
        <v>0</v>
      </c>
      <c r="AJ36" s="477">
        <f>IF((D36&lt;&gt;""),VLOOKUP(D36,Données!$E$36:$H$59,4,FALSE),)</f>
        <v>0</v>
      </c>
      <c r="AK36" s="477">
        <f t="shared" si="27"/>
        <v>0</v>
      </c>
      <c r="AL36" s="478">
        <f t="shared" si="28"/>
        <v>0</v>
      </c>
      <c r="AM36" s="479">
        <f t="shared" si="12"/>
        <v>0</v>
      </c>
      <c r="AN36" s="480">
        <f t="shared" si="13"/>
        <v>0</v>
      </c>
      <c r="AO36" s="477">
        <f t="shared" si="14"/>
        <v>0</v>
      </c>
      <c r="AP36" s="481">
        <f t="shared" si="29"/>
        <v>0</v>
      </c>
      <c r="AQ36" s="481">
        <f t="shared" si="30"/>
        <v>0</v>
      </c>
      <c r="AR36" s="481">
        <f t="shared" si="31"/>
        <v>0</v>
      </c>
      <c r="AS36" s="481">
        <f t="shared" si="32"/>
        <v>0</v>
      </c>
      <c r="AT36" s="479">
        <f t="shared" si="15"/>
        <v>0</v>
      </c>
      <c r="AU36" s="479">
        <f t="shared" si="16"/>
        <v>0</v>
      </c>
      <c r="AV36" s="471">
        <f>IF(Données!$H$8="x",AW36,AX36)</f>
        <v>6.9666666666666632</v>
      </c>
      <c r="AW36" s="471">
        <f t="shared" si="2"/>
        <v>3.4833333333333316</v>
      </c>
      <c r="AX36" s="471">
        <f>IF(D35="L",AX35,(AX35+"7:36"))</f>
        <v>6.9666666666666632</v>
      </c>
      <c r="AY36" s="467" t="str">
        <f t="shared" si="18"/>
        <v>Ve</v>
      </c>
      <c r="AZ36" s="7">
        <f>IF((S40="O4ir")*AND(S41&lt;&gt;""),VLOOKUP(S41,Échelle!$AX$39:$AY$65,2),)</f>
        <v>0</v>
      </c>
      <c r="BA36" s="4" t="s">
        <v>33</v>
      </c>
      <c r="BB36" s="148"/>
    </row>
    <row r="37" spans="2:54" x14ac:dyDescent="0.2">
      <c r="B37" s="403" t="s">
        <v>184</v>
      </c>
      <c r="C37" s="412" t="s">
        <v>636</v>
      </c>
      <c r="D37" s="411"/>
      <c r="E37" s="411"/>
      <c r="F37" s="401"/>
      <c r="G37" s="401"/>
      <c r="H37" s="401"/>
      <c r="I37" s="401"/>
      <c r="J37" s="406"/>
      <c r="K37" s="406"/>
      <c r="L37" s="402">
        <f>(G37-F37)+(I37-H37)+(K37-J37)</f>
        <v>0</v>
      </c>
      <c r="M37" s="402">
        <f>M36+L37</f>
        <v>1.5833333333333333</v>
      </c>
      <c r="N37" s="407">
        <f>IF(Nov!$H$47="x",AV37+Nov!$N$36,AV37)</f>
        <v>13.933333333333326</v>
      </c>
      <c r="O37" s="408" t="str">
        <f t="shared" si="3"/>
        <v>-</v>
      </c>
      <c r="P37" s="409">
        <f t="shared" si="4"/>
        <v>12.349999999999993</v>
      </c>
      <c r="Q37" s="410">
        <f t="shared" si="5"/>
        <v>0</v>
      </c>
      <c r="R37" s="410">
        <f t="shared" si="6"/>
        <v>0</v>
      </c>
      <c r="S37" s="410">
        <f t="shared" si="7"/>
        <v>0</v>
      </c>
      <c r="T37" s="410">
        <f t="shared" si="8"/>
        <v>0</v>
      </c>
      <c r="U37" s="407">
        <f t="shared" si="9"/>
        <v>0</v>
      </c>
      <c r="V37" s="402">
        <f>L37</f>
        <v>0</v>
      </c>
      <c r="W37" s="402">
        <f t="shared" si="10"/>
        <v>0</v>
      </c>
      <c r="X37" s="402">
        <f t="shared" si="11"/>
        <v>0</v>
      </c>
      <c r="Y37" s="401"/>
      <c r="Z37" s="401"/>
      <c r="AA37" s="411"/>
      <c r="AB37" s="420">
        <f t="shared" si="19"/>
        <v>0</v>
      </c>
      <c r="AC37" s="420">
        <f t="shared" si="20"/>
        <v>0</v>
      </c>
      <c r="AD37" s="420">
        <f t="shared" si="21"/>
        <v>0</v>
      </c>
      <c r="AE37" s="420">
        <f t="shared" si="22"/>
        <v>0</v>
      </c>
      <c r="AF37" s="421">
        <f t="shared" si="23"/>
        <v>0</v>
      </c>
      <c r="AG37" s="420">
        <f t="shared" si="24"/>
        <v>0</v>
      </c>
      <c r="AH37" s="421">
        <f t="shared" si="25"/>
        <v>0</v>
      </c>
      <c r="AI37" s="420">
        <f t="shared" si="26"/>
        <v>0</v>
      </c>
      <c r="AJ37" s="422">
        <f>IF((D37&lt;&gt;""),VLOOKUP(D37,Données!$E$36:$H$59,4,FALSE),)</f>
        <v>0</v>
      </c>
      <c r="AK37" s="422">
        <f t="shared" si="27"/>
        <v>0</v>
      </c>
      <c r="AL37" s="423">
        <f t="shared" si="28"/>
        <v>0</v>
      </c>
      <c r="AM37" s="424">
        <f t="shared" si="12"/>
        <v>0</v>
      </c>
      <c r="AN37" s="425">
        <f t="shared" si="13"/>
        <v>0</v>
      </c>
      <c r="AO37" s="422">
        <f t="shared" si="14"/>
        <v>0</v>
      </c>
      <c r="AP37" s="426">
        <f t="shared" si="29"/>
        <v>0</v>
      </c>
      <c r="AQ37" s="426">
        <f t="shared" si="30"/>
        <v>0</v>
      </c>
      <c r="AR37" s="426">
        <f t="shared" si="31"/>
        <v>0</v>
      </c>
      <c r="AS37" s="426">
        <f t="shared" si="32"/>
        <v>0</v>
      </c>
      <c r="AT37" s="424">
        <f t="shared" si="15"/>
        <v>0</v>
      </c>
      <c r="AU37" s="424">
        <f t="shared" si="16"/>
        <v>0</v>
      </c>
      <c r="AV37" s="402">
        <f>IF(Données!$H$8="x",AW37,AX37)</f>
        <v>6.9666666666666632</v>
      </c>
      <c r="AW37" s="402">
        <f t="shared" si="2"/>
        <v>3.4833333333333316</v>
      </c>
      <c r="AX37" s="402">
        <f>AX36</f>
        <v>6.9666666666666632</v>
      </c>
      <c r="AY37" s="403" t="str">
        <f t="shared" si="18"/>
        <v>Sa</v>
      </c>
      <c r="AZ37" s="423">
        <f>IF((S40="O5")*AND(S41&lt;&gt;""),VLOOKUP(S41,Échelle!$AC$39:$AD$65,2),)</f>
        <v>0</v>
      </c>
      <c r="BA37" s="424" t="s">
        <v>26</v>
      </c>
      <c r="BB37" s="148"/>
    </row>
    <row r="38" spans="2:54" x14ac:dyDescent="0.2">
      <c r="AB38" s="200">
        <f t="shared" ref="AB38:AI38" si="40">SUM(AB7:AB37)</f>
        <v>0</v>
      </c>
      <c r="AC38" s="200">
        <f t="shared" si="40"/>
        <v>0</v>
      </c>
      <c r="AD38" s="200">
        <f t="shared" si="40"/>
        <v>0</v>
      </c>
      <c r="AE38" s="200">
        <f t="shared" si="40"/>
        <v>0</v>
      </c>
      <c r="AF38" s="200">
        <f t="shared" si="40"/>
        <v>0</v>
      </c>
      <c r="AG38" s="200">
        <f t="shared" si="40"/>
        <v>0</v>
      </c>
      <c r="AH38" s="200">
        <f t="shared" si="40"/>
        <v>0</v>
      </c>
      <c r="AI38" s="200">
        <f t="shared" si="40"/>
        <v>0</v>
      </c>
      <c r="AK38" s="200">
        <f>SUM(AK7:AK37)</f>
        <v>0</v>
      </c>
      <c r="AM38" s="4">
        <f>SUM(AM7:AM37)+AT38</f>
        <v>0</v>
      </c>
      <c r="AN38" s="39"/>
      <c r="AO38" s="7"/>
      <c r="AP38" s="4">
        <f>SUM(AP7:AP37)</f>
        <v>0</v>
      </c>
      <c r="AQ38" s="4">
        <f>SUM(AQ7:AQ37)</f>
        <v>0</v>
      </c>
      <c r="AR38" s="4">
        <f>SUM(AR7:AR37)</f>
        <v>0</v>
      </c>
      <c r="AS38" s="4">
        <f>SUM(AS7:AS37)</f>
        <v>0</v>
      </c>
      <c r="AT38" s="4">
        <f>SUM(AT7:AT37)</f>
        <v>0</v>
      </c>
      <c r="AU38" s="4">
        <f>SUM(AU7:AU37)+AT38</f>
        <v>0</v>
      </c>
      <c r="AW38" s="28"/>
      <c r="AZ38" s="7">
        <f>IF((S40="O5ir")*AND(S41&lt;&gt;""),VLOOKUP(S41,Échelle!$BA$39:$BB$65,2),)</f>
        <v>0</v>
      </c>
      <c r="BA38" s="4" t="s">
        <v>34</v>
      </c>
      <c r="BB38" s="4"/>
    </row>
    <row r="39" spans="2:54" x14ac:dyDescent="0.2">
      <c r="C39" s="35" t="s">
        <v>99</v>
      </c>
      <c r="D39" s="61"/>
      <c r="E39" s="61"/>
      <c r="F39" s="35"/>
      <c r="G39" s="35"/>
      <c r="H39" s="35"/>
      <c r="W39" s="361" t="s">
        <v>215</v>
      </c>
      <c r="X39" s="362"/>
      <c r="Z39" s="211" t="s">
        <v>216</v>
      </c>
      <c r="AA39" s="387" t="s">
        <v>217</v>
      </c>
      <c r="AB39" s="200">
        <f t="shared" ref="AB39:AI39" si="41">IF((MINUTE(AB38)&gt;=30),(AB38+0.041666667),AB38)</f>
        <v>0</v>
      </c>
      <c r="AC39" s="200">
        <f t="shared" si="41"/>
        <v>0</v>
      </c>
      <c r="AD39" s="200">
        <f t="shared" si="41"/>
        <v>0</v>
      </c>
      <c r="AE39" s="200">
        <f t="shared" si="41"/>
        <v>0</v>
      </c>
      <c r="AF39" s="200">
        <f t="shared" si="41"/>
        <v>0</v>
      </c>
      <c r="AG39" s="200">
        <f t="shared" si="41"/>
        <v>0</v>
      </c>
      <c r="AH39" s="200">
        <f t="shared" si="41"/>
        <v>0</v>
      </c>
      <c r="AI39" s="200">
        <f t="shared" si="41"/>
        <v>0</v>
      </c>
      <c r="AK39" s="200">
        <f>IF((MINUTE(AK38)&gt;=30),(AK38+0.041666667),AK38)</f>
        <v>0</v>
      </c>
      <c r="AM39" s="97">
        <f>AM38*(6.7*AA40)</f>
        <v>0</v>
      </c>
      <c r="AN39" s="39">
        <f>SUM(AN7:AN37)</f>
        <v>0</v>
      </c>
      <c r="AO39" s="7"/>
      <c r="AP39" s="4"/>
      <c r="AQ39" s="4"/>
      <c r="AR39" s="4"/>
      <c r="AS39" s="4"/>
      <c r="AT39" s="4"/>
      <c r="AU39" s="4"/>
      <c r="AW39" s="28"/>
      <c r="AZ39" s="7">
        <f>IF((S40="O6")*AND(S41&lt;&gt;""),VLOOKUP(S41,Échelle!$AF$39:$AG$65,2),)</f>
        <v>0</v>
      </c>
      <c r="BA39" s="4" t="s">
        <v>27</v>
      </c>
      <c r="BB39" s="4"/>
    </row>
    <row r="40" spans="2:54" x14ac:dyDescent="0.2">
      <c r="C40" s="62" t="s">
        <v>218</v>
      </c>
      <c r="D40" s="63"/>
      <c r="E40" s="63"/>
      <c r="F40" s="65"/>
      <c r="G40" s="64"/>
      <c r="H40" s="41">
        <f>Nov!$H$44</f>
        <v>33</v>
      </c>
      <c r="J40" s="12" t="s">
        <v>637</v>
      </c>
      <c r="K40" s="13"/>
      <c r="L40" s="14"/>
      <c r="M40" s="13"/>
      <c r="N40" s="13"/>
      <c r="O40" s="13"/>
      <c r="P40" s="14"/>
      <c r="Q40" s="14"/>
      <c r="R40" s="24"/>
      <c r="S40" s="161" t="s">
        <v>16</v>
      </c>
      <c r="T40" s="359" t="s">
        <v>220</v>
      </c>
      <c r="U40" s="360"/>
      <c r="V40" s="360"/>
      <c r="W40" s="268">
        <v>1</v>
      </c>
      <c r="X40" s="267" t="s">
        <v>221</v>
      </c>
      <c r="Z40" s="214">
        <v>1.7758</v>
      </c>
      <c r="AA40" s="388">
        <f>Z40</f>
        <v>1.7758</v>
      </c>
      <c r="AB40" s="200">
        <f t="shared" ref="AB40:AI40" si="42">IF(MINUTE(AB39)&gt;0,FLOOR(AB39,0.041666667),AB39)</f>
        <v>0</v>
      </c>
      <c r="AC40" s="200">
        <f t="shared" si="42"/>
        <v>0</v>
      </c>
      <c r="AD40" s="200">
        <f t="shared" si="42"/>
        <v>0</v>
      </c>
      <c r="AE40" s="200">
        <f t="shared" si="42"/>
        <v>0</v>
      </c>
      <c r="AF40" s="200">
        <f t="shared" si="42"/>
        <v>0</v>
      </c>
      <c r="AG40" s="200">
        <f t="shared" si="42"/>
        <v>0</v>
      </c>
      <c r="AH40" s="200">
        <f t="shared" si="42"/>
        <v>0</v>
      </c>
      <c r="AI40" s="200">
        <f t="shared" si="42"/>
        <v>0</v>
      </c>
      <c r="AK40" s="222">
        <f>IF(MINUTE(AK39)&gt;0,FLOOR(AK39,0.041666667),AK39)</f>
        <v>0</v>
      </c>
      <c r="AL40" s="4"/>
      <c r="AM40" s="4"/>
      <c r="AP40" s="4"/>
      <c r="AQ40" s="4"/>
      <c r="AR40" s="4"/>
      <c r="AS40" s="4"/>
      <c r="AT40" s="4"/>
      <c r="AU40" s="4"/>
      <c r="AZ40" s="7">
        <f>IF((S40="O6ir")*AND(S41&lt;&gt;""),VLOOKUP(S41,Échelle!$BD$39:$BE$65,2),)</f>
        <v>0</v>
      </c>
      <c r="BA40" s="4" t="s">
        <v>35</v>
      </c>
      <c r="BB40" s="4"/>
    </row>
    <row r="41" spans="2:54" ht="13.5" thickBot="1" x14ac:dyDescent="0.25">
      <c r="C41" s="62" t="s">
        <v>222</v>
      </c>
      <c r="D41" s="63"/>
      <c r="E41" s="63"/>
      <c r="F41" s="65"/>
      <c r="G41" s="64"/>
      <c r="H41" s="118">
        <v>0</v>
      </c>
      <c r="J41" s="15" t="s">
        <v>638</v>
      </c>
      <c r="K41" s="16"/>
      <c r="L41" s="17"/>
      <c r="M41" s="16"/>
      <c r="N41" s="16"/>
      <c r="O41" s="16"/>
      <c r="P41" s="17"/>
      <c r="Q41" s="17"/>
      <c r="R41" s="25"/>
      <c r="S41" s="162">
        <v>30</v>
      </c>
      <c r="T41" s="363">
        <f>AZ44</f>
        <v>34116</v>
      </c>
      <c r="U41" s="364"/>
      <c r="V41" s="365"/>
      <c r="W41" s="317">
        <v>21822</v>
      </c>
      <c r="X41" s="317">
        <v>21498.68</v>
      </c>
      <c r="Z41" s="47"/>
      <c r="AA41" s="47"/>
      <c r="AB41" s="4">
        <f>COUNTIF(AL7:AL37,"1")</f>
        <v>0</v>
      </c>
      <c r="AC41" s="7">
        <v>0.625</v>
      </c>
      <c r="AD41" s="23" t="s">
        <v>374</v>
      </c>
      <c r="AO41" s="4"/>
      <c r="AP41" s="4"/>
      <c r="AQ41" s="4"/>
      <c r="AR41" s="4"/>
      <c r="AS41" s="4"/>
      <c r="AT41" s="4"/>
      <c r="AU41" s="4"/>
      <c r="AZ41" s="7">
        <f>IF((S40="O7")*AND(S41&lt;&gt;""),VLOOKUP(S41,Échelle!$AI$39:$AJ$65,2),)</f>
        <v>0</v>
      </c>
      <c r="BA41" s="4" t="s">
        <v>28</v>
      </c>
      <c r="BB41" s="2"/>
    </row>
    <row r="42" spans="2:54" ht="13.5" thickTop="1" x14ac:dyDescent="0.2">
      <c r="C42" s="62" t="s">
        <v>224</v>
      </c>
      <c r="D42" s="228"/>
      <c r="E42" s="228"/>
      <c r="F42" s="144"/>
      <c r="G42" s="144"/>
      <c r="H42" s="115">
        <f>AN39</f>
        <v>0</v>
      </c>
      <c r="I42" s="45"/>
      <c r="J42" s="18" t="s">
        <v>225</v>
      </c>
      <c r="K42" s="4"/>
      <c r="L42" s="98"/>
      <c r="M42" s="223">
        <f>AK40</f>
        <v>0</v>
      </c>
      <c r="N42" s="35" t="s">
        <v>226</v>
      </c>
      <c r="O42" s="75"/>
      <c r="P42" s="47"/>
      <c r="Q42" s="47"/>
      <c r="R42" s="47"/>
      <c r="S42" s="114"/>
      <c r="T42" s="116"/>
      <c r="U42" s="158">
        <f>IF(X3="x",(M42*AK44/0.041666667),0)</f>
        <v>0</v>
      </c>
      <c r="V42" s="26" t="s">
        <v>227</v>
      </c>
      <c r="W42" s="160">
        <f>IF(Z3="x",(M42*AH44/0.041666667),0)</f>
        <v>0</v>
      </c>
      <c r="X42" s="26" t="s">
        <v>227</v>
      </c>
      <c r="Z42" s="216" t="s">
        <v>228</v>
      </c>
      <c r="AA42" s="217"/>
      <c r="AB42" s="4">
        <f>COUNTIF(AL7:AL37,"2")</f>
        <v>0</v>
      </c>
      <c r="AG42" s="123"/>
      <c r="AH42" s="13" t="s">
        <v>229</v>
      </c>
      <c r="AI42" s="13"/>
      <c r="AJ42" s="124"/>
      <c r="AK42" s="13" t="s">
        <v>231</v>
      </c>
      <c r="AL42" s="13"/>
      <c r="AM42" s="22"/>
      <c r="AN42" s="124"/>
      <c r="AP42" s="4"/>
      <c r="AQ42" s="4"/>
      <c r="AR42" s="4"/>
      <c r="AS42" s="4"/>
      <c r="AT42" s="4"/>
      <c r="AU42" s="4"/>
      <c r="AZ42" s="7">
        <f>IF((S40="O8")*AND(S41&lt;&gt;""),VLOOKUP(S41,Échelle!$AL$39:$AM$68,2),)</f>
        <v>0</v>
      </c>
      <c r="BA42" s="4" t="s">
        <v>29</v>
      </c>
      <c r="BB42" s="2"/>
    </row>
    <row r="43" spans="2:54" x14ac:dyDescent="0.2">
      <c r="C43" s="62" t="s">
        <v>232</v>
      </c>
      <c r="D43" s="63"/>
      <c r="E43" s="63"/>
      <c r="F43" s="65"/>
      <c r="G43" s="303" t="s">
        <v>233</v>
      </c>
      <c r="H43" s="41">
        <f>AB41+(AB42/2)+(AB43/2)</f>
        <v>0</v>
      </c>
      <c r="J43" s="18" t="s">
        <v>234</v>
      </c>
      <c r="K43" s="4"/>
      <c r="L43" s="47"/>
      <c r="M43" s="224">
        <f>IF(Z3="x",AD40,)</f>
        <v>0</v>
      </c>
      <c r="N43" s="35" t="s">
        <v>226</v>
      </c>
      <c r="O43" s="75"/>
      <c r="P43" s="47"/>
      <c r="Q43" s="47"/>
      <c r="R43" s="47"/>
      <c r="S43" s="18"/>
      <c r="T43" s="103"/>
      <c r="U43" s="158"/>
      <c r="V43" s="26"/>
      <c r="W43" s="160">
        <f>IF(Z3="x",(M43*AH51/0.041666667),0)</f>
        <v>0</v>
      </c>
      <c r="X43" s="26"/>
      <c r="Z43" s="218" t="s">
        <v>235</v>
      </c>
      <c r="AA43" s="219"/>
      <c r="AB43" s="4">
        <f>COUNTIF(AL7:AL37,"7")</f>
        <v>0</v>
      </c>
      <c r="AC43" s="4"/>
      <c r="AG43" s="281"/>
      <c r="AH43" s="21">
        <f>X41*1.2434/1850</f>
        <v>14.449437141621623</v>
      </c>
      <c r="AI43" s="21"/>
      <c r="AJ43" s="48"/>
      <c r="AK43" s="21">
        <f>T41*AA40/1850</f>
        <v>32.747671783783787</v>
      </c>
      <c r="AL43" s="21" t="s">
        <v>230</v>
      </c>
      <c r="AM43" s="46"/>
      <c r="AN43" s="48"/>
      <c r="AP43" s="4"/>
      <c r="AQ43" s="4"/>
      <c r="AR43" s="4"/>
      <c r="AS43" s="4"/>
      <c r="AT43" s="4"/>
      <c r="AU43" s="4"/>
      <c r="AZ43" s="7">
        <f>IF((S40=Échelle!CB3)*AND(S41&lt;&gt;""),VLOOKUP(S41,Échelle!$CB$5:$CC$38,2),)</f>
        <v>0</v>
      </c>
      <c r="BA43" s="4" t="s">
        <v>237</v>
      </c>
      <c r="BB43" s="2"/>
    </row>
    <row r="44" spans="2:54" x14ac:dyDescent="0.2">
      <c r="C44" s="304"/>
      <c r="D44" s="66"/>
      <c r="E44" s="66"/>
      <c r="F44" s="67"/>
      <c r="G44" s="68"/>
      <c r="H44" s="73"/>
      <c r="J44" s="18" t="s">
        <v>238</v>
      </c>
      <c r="K44" s="21"/>
      <c r="L44" s="21"/>
      <c r="M44" s="224">
        <f>IF(X3="x",AF40,)</f>
        <v>0</v>
      </c>
      <c r="N44" s="35" t="s">
        <v>226</v>
      </c>
      <c r="O44" s="21"/>
      <c r="P44" s="21"/>
      <c r="Q44" s="21"/>
      <c r="R44" s="21"/>
      <c r="S44" s="18"/>
      <c r="T44" s="103"/>
      <c r="U44" s="158">
        <f>IF(X3="x",(M44*AK51/0.041666667),0)</f>
        <v>0</v>
      </c>
      <c r="V44" s="26" t="s">
        <v>227</v>
      </c>
      <c r="W44" s="160"/>
      <c r="X44" s="26" t="s">
        <v>227</v>
      </c>
      <c r="Z44" s="221">
        <f>AK49</f>
        <v>53.5</v>
      </c>
      <c r="AA44" s="220"/>
      <c r="AB44" s="4" t="s">
        <v>375</v>
      </c>
      <c r="AC44" s="4"/>
      <c r="AF44" s="4">
        <f>M46*78</f>
        <v>0</v>
      </c>
      <c r="AG44" s="282" t="s">
        <v>155</v>
      </c>
      <c r="AH44" s="21">
        <f>AH43*0.9645*AK50/100*1.45</f>
        <v>9.3966730714961653</v>
      </c>
      <c r="AI44" s="21"/>
      <c r="AJ44" s="48"/>
      <c r="AK44" s="213">
        <f>(AK43*0.9645)*AK50/100</f>
        <v>14.687085187488652</v>
      </c>
      <c r="AL44" s="20" t="s">
        <v>236</v>
      </c>
      <c r="AM44" s="54"/>
      <c r="AN44" s="55"/>
      <c r="AP44" s="4"/>
      <c r="AQ44" s="4"/>
      <c r="AR44" s="4"/>
      <c r="AS44" s="4"/>
      <c r="AT44" s="4"/>
      <c r="AU44" s="4"/>
      <c r="AZ44" s="4">
        <f>SUM(AZ7:AZ43)</f>
        <v>34116</v>
      </c>
      <c r="BB44" s="2"/>
    </row>
    <row r="45" spans="2:54" x14ac:dyDescent="0.2">
      <c r="C45" s="69" t="s">
        <v>241</v>
      </c>
      <c r="D45" s="70"/>
      <c r="E45" s="70"/>
      <c r="F45" s="71"/>
      <c r="G45" s="72"/>
      <c r="H45" s="74">
        <f>H40-H43+H41+H42</f>
        <v>33</v>
      </c>
      <c r="J45" s="18" t="s">
        <v>242</v>
      </c>
      <c r="K45" s="21"/>
      <c r="L45" s="21"/>
      <c r="M45" s="224">
        <f>IF(X3="x",AG40,)</f>
        <v>0</v>
      </c>
      <c r="N45" s="35" t="s">
        <v>226</v>
      </c>
      <c r="O45" s="21"/>
      <c r="P45" s="21"/>
      <c r="Q45" s="21"/>
      <c r="R45" s="21"/>
      <c r="S45" s="18"/>
      <c r="T45" s="103"/>
      <c r="U45" s="158">
        <f>IF(X3="x",(M45*AK52/0.041666667),0)</f>
        <v>0</v>
      </c>
      <c r="V45" s="26" t="s">
        <v>227</v>
      </c>
      <c r="W45" s="160"/>
      <c r="X45" s="26" t="s">
        <v>227</v>
      </c>
      <c r="AB45" s="7">
        <f>IF((M37-N37-U4)&gt;0,(M37-N37-U4-G55),)</f>
        <v>0</v>
      </c>
      <c r="AC45" s="7">
        <f>IF((MINUTE(AB45)&gt;=30),(0.041666667),)</f>
        <v>0</v>
      </c>
      <c r="AD45" s="7">
        <f>AB45+AC45</f>
        <v>0</v>
      </c>
      <c r="AE45" s="7">
        <f>AD45</f>
        <v>0</v>
      </c>
      <c r="AF45" s="4">
        <f>M47*23</f>
        <v>0</v>
      </c>
      <c r="AG45" s="19" t="s">
        <v>239</v>
      </c>
      <c r="AH45" s="197">
        <f>(W41*1.2434/1850)*0.009645*AK50</f>
        <v>6.5779242955345953</v>
      </c>
      <c r="AI45" s="197"/>
      <c r="AJ45" s="55"/>
      <c r="AK45" s="4">
        <v>1.24</v>
      </c>
      <c r="AL45" s="4" t="s">
        <v>240</v>
      </c>
      <c r="BB45" s="2"/>
    </row>
    <row r="46" spans="2:54" x14ac:dyDescent="0.2">
      <c r="J46" s="18" t="s">
        <v>243</v>
      </c>
      <c r="K46" s="4"/>
      <c r="L46" s="47"/>
      <c r="M46" s="100">
        <f>COUNTIF(Q7:Q37,"1")</f>
        <v>0</v>
      </c>
      <c r="N46" s="18" t="s">
        <v>244</v>
      </c>
      <c r="O46" s="4"/>
      <c r="P46" s="47"/>
      <c r="Q46" s="47"/>
      <c r="R46" s="47">
        <f>COUNTIF(Q7:Q37,"2")</f>
        <v>0</v>
      </c>
      <c r="S46" s="18"/>
      <c r="T46" s="103"/>
      <c r="U46" s="158">
        <f>IF(X3="x",(M46*AK46*AA40+(R46*AA40*6.2)),0)</f>
        <v>0</v>
      </c>
      <c r="V46" s="26" t="s">
        <v>227</v>
      </c>
      <c r="W46" s="158">
        <f>IF(Z3="x",(M46*AK46*AA40+(R46*AA40*6.2)),0)</f>
        <v>0</v>
      </c>
      <c r="X46" s="26" t="s">
        <v>227</v>
      </c>
      <c r="AB46" s="7"/>
      <c r="AC46" s="7"/>
      <c r="AD46" s="7"/>
      <c r="AE46" s="7">
        <f>HOUR(AE45)</f>
        <v>0</v>
      </c>
      <c r="AG46" s="4"/>
      <c r="AH46" s="4"/>
      <c r="AI46" s="4"/>
      <c r="AK46" s="4">
        <v>2.48</v>
      </c>
      <c r="AL46" s="4" t="s">
        <v>169</v>
      </c>
      <c r="BB46" s="2"/>
    </row>
    <row r="47" spans="2:54" x14ac:dyDescent="0.2">
      <c r="C47" s="35" t="s">
        <v>306</v>
      </c>
      <c r="D47" s="28"/>
      <c r="E47" s="28"/>
      <c r="F47" s="4"/>
      <c r="G47" s="109" t="s">
        <v>307</v>
      </c>
      <c r="H47" s="109" t="s">
        <v>308</v>
      </c>
      <c r="J47" s="18" t="s">
        <v>249</v>
      </c>
      <c r="K47" s="21"/>
      <c r="L47" s="47"/>
      <c r="M47" s="100">
        <f>COUNTIF(R7:R37,"1")</f>
        <v>0</v>
      </c>
      <c r="N47" s="18" t="s">
        <v>250</v>
      </c>
      <c r="O47" s="21"/>
      <c r="P47" s="47"/>
      <c r="Q47" s="47"/>
      <c r="R47" s="47">
        <f>COUNTIF(R7:R37,"2")</f>
        <v>0</v>
      </c>
      <c r="S47" s="18"/>
      <c r="T47" s="103"/>
      <c r="U47" s="158">
        <f>IF(X3="x",(M47*AK47*AA40+(R47*AA40*6.2)),0)</f>
        <v>0</v>
      </c>
      <c r="V47" s="26" t="s">
        <v>227</v>
      </c>
      <c r="W47" s="158">
        <f>IF(Z3="x",(M47*AK47*AA40+(R47*AA40*6.2)),0)</f>
        <v>0</v>
      </c>
      <c r="X47" s="26" t="s">
        <v>227</v>
      </c>
      <c r="Y47" s="47"/>
      <c r="Z47" s="47"/>
      <c r="AA47" s="47"/>
      <c r="AB47" s="7">
        <f>HOUR(AD45)*0.041666667</f>
        <v>0</v>
      </c>
      <c r="AD47" s="7"/>
      <c r="AG47" s="4"/>
      <c r="AH47" s="4"/>
      <c r="AI47" s="4"/>
      <c r="AK47" s="4">
        <v>2.48</v>
      </c>
      <c r="AL47" s="4" t="s">
        <v>170</v>
      </c>
      <c r="BB47" s="2"/>
    </row>
    <row r="48" spans="2:54" x14ac:dyDescent="0.2">
      <c r="C48" s="35" t="s">
        <v>252</v>
      </c>
      <c r="D48" s="28"/>
      <c r="E48" s="28"/>
      <c r="G48" s="127" t="s">
        <v>117</v>
      </c>
      <c r="H48" s="127"/>
      <c r="J48" s="18" t="s">
        <v>253</v>
      </c>
      <c r="K48" s="4"/>
      <c r="L48" s="4"/>
      <c r="M48" s="100">
        <f>COUNTIF(S7:S37,"1")</f>
        <v>0</v>
      </c>
      <c r="N48" s="18" t="s">
        <v>254</v>
      </c>
      <c r="O48" s="4"/>
      <c r="P48" s="4"/>
      <c r="Q48" s="21"/>
      <c r="R48" s="39">
        <f>COUNTIF(S7:S37,"2")</f>
        <v>0</v>
      </c>
      <c r="S48" s="18"/>
      <c r="T48" s="153"/>
      <c r="U48" s="158">
        <f>IF(X3="x",(M48*AK48*AA40+(R48*AA40*3.48)),0)</f>
        <v>0</v>
      </c>
      <c r="V48" s="26" t="s">
        <v>227</v>
      </c>
      <c r="W48" s="158">
        <f>IF(Z3="x",(M48*AK48*AA40+(R48*AA40*3.48)),0)</f>
        <v>0</v>
      </c>
      <c r="X48" s="26" t="s">
        <v>227</v>
      </c>
      <c r="Y48" s="47"/>
      <c r="Z48" s="47"/>
      <c r="AA48" s="47"/>
      <c r="AB48" s="7"/>
      <c r="AD48" s="96"/>
      <c r="AG48" s="4"/>
      <c r="AH48" s="4"/>
      <c r="AI48" s="4"/>
      <c r="AK48" s="4">
        <v>1.74</v>
      </c>
      <c r="AL48" s="4" t="s">
        <v>251</v>
      </c>
      <c r="BB48" s="2"/>
    </row>
    <row r="49" spans="3:54" x14ac:dyDescent="0.2">
      <c r="J49" s="18" t="s">
        <v>256</v>
      </c>
      <c r="K49" s="4"/>
      <c r="L49" s="4"/>
      <c r="M49" s="100">
        <f>COUNTIF(T7:T37,"1")</f>
        <v>0</v>
      </c>
      <c r="N49" s="18" t="s">
        <v>257</v>
      </c>
      <c r="O49" s="4"/>
      <c r="P49" s="4"/>
      <c r="Q49" s="21"/>
      <c r="R49" s="39">
        <f>COUNTIF(T7:T37,"2")</f>
        <v>0</v>
      </c>
      <c r="S49" s="18"/>
      <c r="T49" s="153"/>
      <c r="U49" s="158">
        <f>IF(X3="x",(M49*AK45*AA40+(R49*AA40*2.48)),0)</f>
        <v>0</v>
      </c>
      <c r="V49" s="26" t="s">
        <v>227</v>
      </c>
      <c r="W49" s="158">
        <f>IF(Z3="x",(M49*AK45*AA40+(R49*AA40*2.48)),0)</f>
        <v>0</v>
      </c>
      <c r="X49" s="26" t="s">
        <v>227</v>
      </c>
      <c r="Y49" s="47"/>
      <c r="Z49" s="47"/>
      <c r="AA49" s="47"/>
      <c r="AB49" s="7">
        <f>IF(MINUTE(AB45)&gt;0,FLOOR(AE45,0.041666667),AE45)</f>
        <v>0</v>
      </c>
      <c r="AC49" s="96"/>
      <c r="AD49" s="96"/>
      <c r="AG49" s="4"/>
      <c r="AH49" s="4"/>
      <c r="AI49" s="4"/>
      <c r="AK49" s="4">
        <f>VLOOKUP(AS49,Données!$F$74:$H$85,3)</f>
        <v>53.5</v>
      </c>
      <c r="AL49" s="4" t="s">
        <v>255</v>
      </c>
      <c r="AP49" s="385">
        <f>T41*Z40</f>
        <v>60583.192800000004</v>
      </c>
      <c r="AQ49" s="2">
        <f>AP49*0.075</f>
        <v>4543.7394599999998</v>
      </c>
      <c r="AR49" s="2">
        <f>AP49*0.0355</f>
        <v>2150.7033443999999</v>
      </c>
      <c r="AS49" s="225">
        <f>AP49-AQ49-AR49</f>
        <v>53888.74999560001</v>
      </c>
      <c r="BB49" s="2"/>
    </row>
    <row r="50" spans="3:54" x14ac:dyDescent="0.2">
      <c r="C50" s="4" t="s">
        <v>259</v>
      </c>
      <c r="D50" s="28"/>
      <c r="E50" s="28"/>
      <c r="F50" s="4"/>
      <c r="G50" s="4"/>
      <c r="J50" s="18" t="s">
        <v>260</v>
      </c>
      <c r="K50" s="4"/>
      <c r="L50" s="21"/>
      <c r="M50" s="224">
        <f>IF(AND(O37="+",G48="x",AB45&gt;=0),AB49,0)</f>
        <v>0</v>
      </c>
      <c r="N50" s="35" t="s">
        <v>226</v>
      </c>
      <c r="O50" s="75"/>
      <c r="P50" s="47"/>
      <c r="Q50" s="47"/>
      <c r="R50" s="47"/>
      <c r="S50" s="18"/>
      <c r="T50" s="103"/>
      <c r="U50" s="158">
        <f>IF(X3="x",(M50*AK44/0.041666667),0)</f>
        <v>0</v>
      </c>
      <c r="V50" s="26" t="s">
        <v>227</v>
      </c>
      <c r="W50" s="160">
        <f>IF(Z3="x",(M50*AH45/0.041666667),0)</f>
        <v>0</v>
      </c>
      <c r="X50" s="26" t="s">
        <v>227</v>
      </c>
      <c r="AG50" s="4"/>
      <c r="AH50" s="4"/>
      <c r="AI50" s="4"/>
      <c r="AK50" s="97">
        <f>100-AK49</f>
        <v>46.5</v>
      </c>
      <c r="AL50" s="4" t="s">
        <v>258</v>
      </c>
      <c r="BB50" s="2"/>
    </row>
    <row r="51" spans="3:54" x14ac:dyDescent="0.2">
      <c r="C51" s="4" t="s">
        <v>261</v>
      </c>
      <c r="D51" s="28"/>
      <c r="E51" s="28"/>
      <c r="F51" s="4"/>
      <c r="G51" s="215">
        <v>0</v>
      </c>
      <c r="J51" s="18" t="s">
        <v>262</v>
      </c>
      <c r="K51" s="21"/>
      <c r="L51" s="21"/>
      <c r="M51" s="100">
        <f>AM38</f>
        <v>0</v>
      </c>
      <c r="N51" s="188" t="s">
        <v>263</v>
      </c>
      <c r="O51" s="153"/>
      <c r="P51" s="47"/>
      <c r="Q51" s="47"/>
      <c r="R51" s="47"/>
      <c r="S51" s="18"/>
      <c r="T51" s="153"/>
      <c r="U51" s="158">
        <f>IF(X3="x",AM39,0)</f>
        <v>0</v>
      </c>
      <c r="V51" s="26" t="s">
        <v>227</v>
      </c>
      <c r="W51" s="160">
        <f>IF(Z3="x",AM39,0)</f>
        <v>0</v>
      </c>
      <c r="X51" s="26" t="s">
        <v>227</v>
      </c>
      <c r="AG51" s="4" t="s">
        <v>161</v>
      </c>
      <c r="AH51" s="4">
        <f>AH43*0.00325*0.9645*AK50</f>
        <v>2.1061508608525887</v>
      </c>
      <c r="AI51" s="4"/>
      <c r="AK51" s="97">
        <f>AK44/100*20</f>
        <v>2.9374170374977302</v>
      </c>
      <c r="AL51" s="4" t="s">
        <v>264</v>
      </c>
      <c r="BB51" s="2"/>
    </row>
    <row r="52" spans="3:54" x14ac:dyDescent="0.2">
      <c r="C52" s="245" t="s">
        <v>265</v>
      </c>
      <c r="D52" s="28"/>
      <c r="E52" s="28"/>
      <c r="J52" s="18" t="s">
        <v>266</v>
      </c>
      <c r="K52" s="47"/>
      <c r="L52" s="21"/>
      <c r="M52" s="100">
        <f>SUM(AA7:AA37)</f>
        <v>0</v>
      </c>
      <c r="N52" s="188" t="s">
        <v>267</v>
      </c>
      <c r="O52" s="21"/>
      <c r="P52" s="21"/>
      <c r="Q52" s="21"/>
      <c r="R52" s="21"/>
      <c r="S52" s="18"/>
      <c r="T52" s="187"/>
      <c r="U52" s="158">
        <f>IF(X3="x",(M52*Données!$T$13),0)</f>
        <v>0</v>
      </c>
      <c r="V52" s="26" t="s">
        <v>227</v>
      </c>
      <c r="W52" s="160">
        <f>IF(Z3="x",M52*0.2,0)</f>
        <v>0</v>
      </c>
      <c r="X52" s="26" t="s">
        <v>227</v>
      </c>
      <c r="AK52" s="97">
        <f>AK44/100*35</f>
        <v>5.1404798156210285</v>
      </c>
      <c r="AL52" s="4" t="s">
        <v>268</v>
      </c>
      <c r="BB52" s="2"/>
    </row>
    <row r="53" spans="3:54" x14ac:dyDescent="0.2">
      <c r="J53" s="18" t="s">
        <v>269</v>
      </c>
      <c r="K53" s="21"/>
      <c r="L53" s="21"/>
      <c r="M53" s="224">
        <f>AH54</f>
        <v>0</v>
      </c>
      <c r="N53" s="35" t="s">
        <v>226</v>
      </c>
      <c r="O53" s="21"/>
      <c r="P53" s="21"/>
      <c r="Q53" s="21"/>
      <c r="R53" s="21"/>
      <c r="S53" s="18"/>
      <c r="T53" s="153"/>
      <c r="U53" s="158">
        <f>IF(X3="x",(M53*AK54/0.041666667),0)</f>
        <v>0</v>
      </c>
      <c r="V53" s="26" t="s">
        <v>227</v>
      </c>
      <c r="W53" s="158">
        <f>IF(Z3="x",(M53*AK54/0.041666667),0)</f>
        <v>0</v>
      </c>
      <c r="X53" s="26" t="s">
        <v>227</v>
      </c>
      <c r="AK53" s="225"/>
      <c r="BB53" s="2"/>
    </row>
    <row r="54" spans="3:54" x14ac:dyDescent="0.2">
      <c r="C54" s="35" t="s">
        <v>270</v>
      </c>
      <c r="D54" s="28"/>
      <c r="E54" s="28"/>
      <c r="J54" s="18" t="s">
        <v>271</v>
      </c>
      <c r="K54" s="21"/>
      <c r="L54" s="21"/>
      <c r="M54" s="224">
        <f>AH55</f>
        <v>0</v>
      </c>
      <c r="N54" s="188" t="s">
        <v>226</v>
      </c>
      <c r="O54" s="21"/>
      <c r="P54" s="21"/>
      <c r="Q54" s="21"/>
      <c r="R54" s="21"/>
      <c r="S54" s="18"/>
      <c r="T54" s="153"/>
      <c r="U54" s="158">
        <f>IF(X3="x",(M54*AK55/0.041666667),0)</f>
        <v>0</v>
      </c>
      <c r="V54" s="26" t="s">
        <v>227</v>
      </c>
      <c r="W54" s="158">
        <f>IF(Z3="x",(M54*AK55/0.041666667),0)</f>
        <v>0</v>
      </c>
      <c r="X54" s="26" t="s">
        <v>227</v>
      </c>
      <c r="AE54" s="285">
        <f>SUM(Y7:Y37)</f>
        <v>0</v>
      </c>
      <c r="AF54" s="196">
        <f>IF(MINUTE(AE54)&gt;=30,AE54+0.041666667,AE54)</f>
        <v>0</v>
      </c>
      <c r="AG54" s="196"/>
      <c r="AH54" s="13">
        <f>IF(MINUTE(AF54)&gt;0,FLOOR(AF54,0.041666667),AF54)</f>
        <v>0</v>
      </c>
      <c r="AI54" s="13"/>
      <c r="AJ54" s="196"/>
      <c r="AK54" s="212">
        <f>AK44/24</f>
        <v>0.61196188281202712</v>
      </c>
      <c r="AL54" s="13" t="s">
        <v>272</v>
      </c>
      <c r="AM54" s="13"/>
      <c r="AN54" s="13"/>
      <c r="AO54" s="13"/>
      <c r="AP54" s="121"/>
      <c r="BB54" s="2"/>
    </row>
    <row r="55" spans="3:54" x14ac:dyDescent="0.2">
      <c r="C55" s="35" t="s">
        <v>261</v>
      </c>
      <c r="D55" s="28"/>
      <c r="E55" s="28"/>
      <c r="G55" s="198">
        <v>0</v>
      </c>
      <c r="J55" s="19" t="s">
        <v>273</v>
      </c>
      <c r="K55" s="20"/>
      <c r="L55" s="20"/>
      <c r="M55" s="318">
        <f>AU38</f>
        <v>0</v>
      </c>
      <c r="N55" s="20" t="s">
        <v>263</v>
      </c>
      <c r="O55" s="20"/>
      <c r="P55" s="20"/>
      <c r="Q55" s="20"/>
      <c r="R55" s="20"/>
      <c r="S55" s="19"/>
      <c r="T55" s="20"/>
      <c r="U55" s="159">
        <f>IF(X3="x",(M55*(2.81*AA40))/100*(100-Z44),0)</f>
        <v>0</v>
      </c>
      <c r="V55" s="27" t="s">
        <v>227</v>
      </c>
      <c r="W55" s="159">
        <f>IF(Z3="x",(M55*(2.81*AA40))/100*(100-Z44),0)</f>
        <v>0</v>
      </c>
      <c r="X55" s="27" t="s">
        <v>227</v>
      </c>
      <c r="AE55" s="286">
        <f>SUM(Z7:Z37)</f>
        <v>0</v>
      </c>
      <c r="AF55" s="197">
        <f>IF(MINUTE(AE55)&gt;=30,AE55+0.041666667,AE55)</f>
        <v>0</v>
      </c>
      <c r="AG55" s="197"/>
      <c r="AH55" s="20">
        <f>IF(MINUTE(AF55)&gt;0,FLOOR(AF55,0.041666667),AF55)</f>
        <v>0</v>
      </c>
      <c r="AI55" s="20"/>
      <c r="AJ55" s="197"/>
      <c r="AK55" s="213">
        <f>AK44/15</f>
        <v>0.97913901249924351</v>
      </c>
      <c r="AL55" s="20" t="s">
        <v>274</v>
      </c>
      <c r="AM55" s="20"/>
      <c r="AN55" s="20"/>
      <c r="AO55" s="20"/>
      <c r="AP55" s="119"/>
      <c r="BB55" s="2"/>
    </row>
    <row r="56" spans="3:54" x14ac:dyDescent="0.2">
      <c r="C56" s="245" t="s">
        <v>265</v>
      </c>
      <c r="D56" s="28"/>
      <c r="E56" s="21"/>
      <c r="F56" s="47"/>
      <c r="G56" s="21"/>
      <c r="L56" s="104" t="s">
        <v>275</v>
      </c>
      <c r="M56" s="104"/>
      <c r="N56" s="19"/>
      <c r="O56" s="105"/>
      <c r="P56" s="99"/>
      <c r="Q56" s="99"/>
      <c r="R56" s="99"/>
      <c r="S56" s="19"/>
      <c r="T56" s="106"/>
      <c r="U56" s="159">
        <f>IF(X3="x",(SUM(U42:U55)),0)</f>
        <v>0</v>
      </c>
      <c r="V56" s="27" t="s">
        <v>227</v>
      </c>
      <c r="W56" s="159">
        <f>IF(Z3="x",(SUM(W42:W55)),0)</f>
        <v>0</v>
      </c>
      <c r="X56" s="27" t="s">
        <v>227</v>
      </c>
      <c r="BB56" s="2"/>
    </row>
    <row r="57" spans="3:54" x14ac:dyDescent="0.2">
      <c r="BB57" s="2"/>
    </row>
    <row r="59" spans="3:54" x14ac:dyDescent="0.2">
      <c r="F59" s="21"/>
      <c r="G59" s="47"/>
      <c r="H59" s="21"/>
      <c r="I59" s="21"/>
      <c r="J59" s="21"/>
      <c r="K59" s="21"/>
      <c r="L59" s="21"/>
      <c r="M59" s="104"/>
      <c r="N59" s="189"/>
      <c r="O59" s="21"/>
      <c r="S59" s="21"/>
      <c r="T59" s="108"/>
      <c r="U59" s="108"/>
      <c r="V59" s="21"/>
      <c r="W59" s="21"/>
      <c r="X59" s="103"/>
      <c r="Y59" s="46"/>
    </row>
    <row r="60" spans="3:54" x14ac:dyDescent="0.2">
      <c r="F60" s="21"/>
      <c r="G60" s="47"/>
      <c r="H60" s="21"/>
      <c r="I60" s="21"/>
      <c r="J60" s="21"/>
      <c r="K60" s="21"/>
      <c r="L60" s="21"/>
      <c r="M60" s="104"/>
      <c r="N60" s="189"/>
      <c r="O60" s="21"/>
      <c r="S60" s="21"/>
      <c r="T60" s="108"/>
      <c r="U60" s="108"/>
      <c r="V60" s="32"/>
      <c r="W60" s="21"/>
      <c r="X60" s="190"/>
      <c r="Y60" s="21"/>
    </row>
  </sheetData>
  <sheetProtection algorithmName="SHA-512" hashValue="wGhaTa0S7k64/X6CK/3W4IfA879nkUi6w5nsy4naMYmHcEcI9DKmjQJXb6caJFreNaTG5XJUcaH/7pqISNybuQ==" saltValue="qLMlofLft6uKRdIHWd7ZQg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2" orientation="landscape" horizontalDpi="300" verticalDpi="300" r:id="rId1"/>
  <headerFooter alignWithMargins="0"/>
  <ignoredErrors>
    <ignoredError sqref="Q7:T37" unlockedFormula="1"/>
  </ignoredError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5">
    <pageSetUpPr fitToPage="1"/>
  </sheetPr>
  <dimension ref="A1:N41"/>
  <sheetViews>
    <sheetView showGridLines="0" showRowColHeaders="0" workbookViewId="0">
      <selection activeCell="B26" sqref="B26"/>
    </sheetView>
  </sheetViews>
  <sheetFormatPr defaultRowHeight="12.75" x14ac:dyDescent="0.2"/>
  <cols>
    <col min="1" max="1" width="11.7109375" customWidth="1"/>
    <col min="8" max="8" width="8.140625" customWidth="1"/>
    <col min="9" max="9" width="8.7109375" customWidth="1"/>
    <col min="10" max="10" width="8.42578125" customWidth="1"/>
    <col min="11" max="11" width="8.85546875" customWidth="1"/>
    <col min="12" max="12" width="8.42578125" customWidth="1"/>
    <col min="13" max="13" width="13" customWidth="1"/>
    <col min="14" max="14" width="8.5703125" customWidth="1"/>
  </cols>
  <sheetData>
    <row r="1" spans="1:14" x14ac:dyDescent="0.2">
      <c r="A1" s="254" t="s">
        <v>639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2"/>
    </row>
    <row r="2" spans="1:14" s="256" customFormat="1" x14ac:dyDescent="0.2">
      <c r="A2" s="174" t="s">
        <v>640</v>
      </c>
      <c r="B2" s="259" t="s">
        <v>641</v>
      </c>
      <c r="C2" s="259"/>
      <c r="D2" s="262" t="s">
        <v>642</v>
      </c>
      <c r="E2" s="262"/>
      <c r="F2" s="259" t="s">
        <v>643</v>
      </c>
      <c r="G2" s="259"/>
      <c r="H2" s="262" t="s">
        <v>644</v>
      </c>
      <c r="I2" s="262"/>
      <c r="J2" s="259" t="s">
        <v>645</v>
      </c>
      <c r="K2" s="259"/>
      <c r="L2" s="262" t="s">
        <v>646</v>
      </c>
      <c r="M2" s="262"/>
      <c r="N2" s="255"/>
    </row>
    <row r="3" spans="1:14" ht="13.5" thickBot="1" x14ac:dyDescent="0.25">
      <c r="A3" s="173"/>
      <c r="B3" s="260">
        <v>1</v>
      </c>
      <c r="C3" s="261" t="s">
        <v>221</v>
      </c>
      <c r="D3" s="263">
        <v>1</v>
      </c>
      <c r="E3" s="264" t="s">
        <v>221</v>
      </c>
      <c r="F3" s="260">
        <v>1</v>
      </c>
      <c r="G3" s="261" t="s">
        <v>221</v>
      </c>
      <c r="H3" s="263">
        <v>1</v>
      </c>
      <c r="I3" s="264" t="s">
        <v>221</v>
      </c>
      <c r="J3" s="260">
        <v>1</v>
      </c>
      <c r="K3" s="261" t="s">
        <v>221</v>
      </c>
      <c r="L3" s="263">
        <v>1</v>
      </c>
      <c r="M3" s="264" t="s">
        <v>221</v>
      </c>
      <c r="N3" s="2"/>
    </row>
    <row r="4" spans="1:14" ht="13.5" thickTop="1" x14ac:dyDescent="0.2">
      <c r="A4" s="126" t="s">
        <v>647</v>
      </c>
      <c r="B4" s="315">
        <v>13409.11</v>
      </c>
      <c r="C4" s="315">
        <v>12735.61</v>
      </c>
      <c r="D4" s="265">
        <v>13409.11</v>
      </c>
      <c r="E4" s="265">
        <v>12735.61</v>
      </c>
      <c r="F4" s="315">
        <v>14965.16</v>
      </c>
      <c r="G4" s="315">
        <v>14256.61</v>
      </c>
      <c r="H4" s="265">
        <v>16048.38</v>
      </c>
      <c r="I4" s="265">
        <v>15922.55</v>
      </c>
      <c r="J4" s="315">
        <v>17924.689999999999</v>
      </c>
      <c r="K4" s="315">
        <v>17727.29</v>
      </c>
      <c r="L4" s="265">
        <v>19710.59</v>
      </c>
      <c r="M4" s="265">
        <v>19515.45</v>
      </c>
      <c r="N4" s="2"/>
    </row>
    <row r="5" spans="1:14" x14ac:dyDescent="0.2">
      <c r="A5" s="6" t="s">
        <v>648</v>
      </c>
      <c r="B5" s="316">
        <v>13802.89</v>
      </c>
      <c r="C5" s="316">
        <v>13000.56</v>
      </c>
      <c r="D5" s="266">
        <v>13802.89</v>
      </c>
      <c r="E5" s="266">
        <v>13088.54</v>
      </c>
      <c r="F5" s="316">
        <v>15326.72</v>
      </c>
      <c r="G5" s="316">
        <v>14698.09</v>
      </c>
      <c r="H5" s="266">
        <v>16481.259999999998</v>
      </c>
      <c r="I5" s="266">
        <v>16364.03</v>
      </c>
      <c r="J5" s="316">
        <v>18361.88</v>
      </c>
      <c r="K5" s="316">
        <v>18168.77</v>
      </c>
      <c r="L5" s="266">
        <v>20156.48</v>
      </c>
      <c r="M5" s="266">
        <v>19956.93</v>
      </c>
      <c r="N5" s="2"/>
    </row>
    <row r="6" spans="1:14" x14ac:dyDescent="0.2">
      <c r="A6" s="6" t="s">
        <v>649</v>
      </c>
      <c r="B6" s="316">
        <v>14196.67</v>
      </c>
      <c r="C6" s="316">
        <v>13265.51</v>
      </c>
      <c r="D6" s="266">
        <v>14196.67</v>
      </c>
      <c r="E6" s="266">
        <v>13441.47</v>
      </c>
      <c r="F6" s="316">
        <v>15688.28</v>
      </c>
      <c r="G6" s="316">
        <v>15139.57</v>
      </c>
      <c r="H6" s="266">
        <v>16914.14</v>
      </c>
      <c r="I6" s="266">
        <v>16805.509999999998</v>
      </c>
      <c r="J6" s="316">
        <v>18799.07</v>
      </c>
      <c r="K6" s="316">
        <v>18610.25</v>
      </c>
      <c r="L6" s="266">
        <v>20602.37</v>
      </c>
      <c r="M6" s="266">
        <v>20398.41</v>
      </c>
      <c r="N6" s="2"/>
    </row>
    <row r="7" spans="1:14" x14ac:dyDescent="0.2">
      <c r="A7" s="6" t="s">
        <v>650</v>
      </c>
      <c r="B7" s="316">
        <v>14590.45</v>
      </c>
      <c r="C7" s="316">
        <v>13530.46</v>
      </c>
      <c r="D7" s="266">
        <v>14590.45</v>
      </c>
      <c r="E7" s="266">
        <v>13794.4</v>
      </c>
      <c r="F7" s="316">
        <v>16049.84</v>
      </c>
      <c r="G7" s="316">
        <v>15581.05</v>
      </c>
      <c r="H7" s="266">
        <v>17347.02</v>
      </c>
      <c r="I7" s="266">
        <v>17246.990000000002</v>
      </c>
      <c r="J7" s="316">
        <v>19242.23</v>
      </c>
      <c r="K7" s="316">
        <v>19051.73</v>
      </c>
      <c r="L7" s="266">
        <v>21048.26</v>
      </c>
      <c r="M7" s="266">
        <v>20839.89</v>
      </c>
      <c r="N7" s="2"/>
    </row>
    <row r="8" spans="1:14" x14ac:dyDescent="0.2">
      <c r="A8" s="6" t="s">
        <v>651</v>
      </c>
      <c r="B8" s="316"/>
      <c r="C8" s="316">
        <v>13795.41</v>
      </c>
      <c r="D8" s="266"/>
      <c r="E8" s="266">
        <v>14147.33</v>
      </c>
      <c r="F8" s="316"/>
      <c r="G8" s="316"/>
      <c r="H8" s="266"/>
      <c r="I8" s="266"/>
      <c r="J8" s="316"/>
      <c r="K8" s="316"/>
      <c r="L8" s="266"/>
      <c r="M8" s="266"/>
      <c r="N8" s="2"/>
    </row>
    <row r="9" spans="1:14" x14ac:dyDescent="0.2">
      <c r="A9" s="6" t="s">
        <v>652</v>
      </c>
      <c r="B9" s="316">
        <v>15167.43</v>
      </c>
      <c r="C9" s="316">
        <v>14060.36</v>
      </c>
      <c r="D9" s="266">
        <v>15345.24</v>
      </c>
      <c r="E9" s="266">
        <v>14500.26</v>
      </c>
      <c r="F9" s="316">
        <v>16752.87</v>
      </c>
      <c r="G9" s="316">
        <v>15948.95</v>
      </c>
      <c r="H9" s="266">
        <v>17912.79</v>
      </c>
      <c r="I9" s="266">
        <v>17688.47</v>
      </c>
      <c r="J9" s="316">
        <v>19985.919999999998</v>
      </c>
      <c r="K9" s="316">
        <v>19493.21</v>
      </c>
      <c r="L9" s="266">
        <v>21494.94</v>
      </c>
      <c r="M9" s="266">
        <v>21207.79</v>
      </c>
      <c r="N9" s="2"/>
    </row>
    <row r="10" spans="1:14" x14ac:dyDescent="0.2">
      <c r="A10" s="6" t="s">
        <v>653</v>
      </c>
      <c r="B10" s="316">
        <v>15744.41</v>
      </c>
      <c r="C10" s="316">
        <v>14315.77</v>
      </c>
      <c r="D10" s="266">
        <v>16100.03</v>
      </c>
      <c r="E10" s="266">
        <v>15038.91</v>
      </c>
      <c r="F10" s="316">
        <v>17452.830000000002</v>
      </c>
      <c r="G10" s="316">
        <v>16316.85</v>
      </c>
      <c r="H10" s="266">
        <v>18478.560000000001</v>
      </c>
      <c r="I10" s="266">
        <v>18129.95</v>
      </c>
      <c r="J10" s="316">
        <v>20729.61</v>
      </c>
      <c r="K10" s="316">
        <v>19934.689999999999</v>
      </c>
      <c r="L10" s="266">
        <v>21941.62</v>
      </c>
      <c r="M10" s="266">
        <v>21575.69</v>
      </c>
      <c r="N10" s="2"/>
    </row>
    <row r="11" spans="1:14" x14ac:dyDescent="0.2">
      <c r="A11" s="6" t="s">
        <v>654</v>
      </c>
      <c r="B11" s="316">
        <v>16321.39</v>
      </c>
      <c r="C11" s="316">
        <v>14571.18</v>
      </c>
      <c r="D11" s="266">
        <v>16854.82</v>
      </c>
      <c r="E11" s="266">
        <v>15577.56</v>
      </c>
      <c r="F11" s="316">
        <v>18152.79</v>
      </c>
      <c r="G11" s="316">
        <v>16758.330000000002</v>
      </c>
      <c r="H11" s="266">
        <v>19044.330000000002</v>
      </c>
      <c r="I11" s="266">
        <v>18571.43</v>
      </c>
      <c r="J11" s="316">
        <v>21473.3</v>
      </c>
      <c r="K11" s="316">
        <v>20376.169999999998</v>
      </c>
      <c r="L11" s="266">
        <v>22388.3</v>
      </c>
      <c r="M11" s="266">
        <v>21943.59</v>
      </c>
      <c r="N11" s="2"/>
    </row>
    <row r="12" spans="1:14" x14ac:dyDescent="0.2">
      <c r="A12" s="6" t="s">
        <v>655</v>
      </c>
      <c r="B12" s="316">
        <v>16898.37</v>
      </c>
      <c r="C12" s="316">
        <v>14953.78</v>
      </c>
      <c r="D12" s="266">
        <v>17609.61</v>
      </c>
      <c r="E12" s="266">
        <v>16317.7</v>
      </c>
      <c r="F12" s="316">
        <v>18852.75</v>
      </c>
      <c r="G12" s="316">
        <v>17199.810000000001</v>
      </c>
      <c r="H12" s="266">
        <v>19610.099999999999</v>
      </c>
      <c r="I12" s="266">
        <v>19012.91</v>
      </c>
      <c r="J12" s="316">
        <v>22216.99</v>
      </c>
      <c r="K12" s="316">
        <v>20817.650000000001</v>
      </c>
      <c r="L12" s="266">
        <v>22834.98</v>
      </c>
      <c r="M12" s="266">
        <v>22311.49</v>
      </c>
      <c r="N12" s="2"/>
    </row>
    <row r="13" spans="1:14" x14ac:dyDescent="0.2">
      <c r="A13" s="6" t="s">
        <v>656</v>
      </c>
      <c r="B13" s="316">
        <v>17450.560000000001</v>
      </c>
      <c r="C13" s="316">
        <v>15336.38</v>
      </c>
      <c r="D13" s="266">
        <v>18211.38</v>
      </c>
      <c r="E13" s="266">
        <v>17057.84</v>
      </c>
      <c r="F13" s="316">
        <v>19552.71</v>
      </c>
      <c r="G13" s="316">
        <v>17641.29</v>
      </c>
      <c r="H13" s="266">
        <v>20175.87</v>
      </c>
      <c r="I13" s="266">
        <v>19454.39</v>
      </c>
      <c r="J13" s="316">
        <v>22960.68</v>
      </c>
      <c r="K13" s="316">
        <v>21259.13</v>
      </c>
      <c r="L13" s="266">
        <v>23381.02</v>
      </c>
      <c r="M13" s="266">
        <v>22752.97</v>
      </c>
      <c r="N13" s="2"/>
    </row>
    <row r="14" spans="1:14" x14ac:dyDescent="0.2">
      <c r="A14" s="6" t="s">
        <v>657</v>
      </c>
      <c r="B14" s="316">
        <v>18002.75</v>
      </c>
      <c r="C14" s="316">
        <v>15718.98</v>
      </c>
      <c r="D14" s="266">
        <v>18813.150000000001</v>
      </c>
      <c r="E14" s="266">
        <v>17797.98</v>
      </c>
      <c r="F14" s="316">
        <v>20252.669999999998</v>
      </c>
      <c r="G14" s="316">
        <v>18082.77</v>
      </c>
      <c r="H14" s="266">
        <v>20816.060000000001</v>
      </c>
      <c r="I14" s="266">
        <v>19895.87</v>
      </c>
      <c r="J14" s="316">
        <v>23406.57</v>
      </c>
      <c r="K14" s="316">
        <v>21700.61</v>
      </c>
      <c r="L14" s="266">
        <v>23927.06</v>
      </c>
      <c r="M14" s="266">
        <v>23194.45</v>
      </c>
      <c r="N14" s="2"/>
    </row>
    <row r="15" spans="1:14" x14ac:dyDescent="0.2">
      <c r="A15" s="6" t="s">
        <v>658</v>
      </c>
      <c r="B15" s="316">
        <v>18554.939999999999</v>
      </c>
      <c r="C15" s="316">
        <v>16101.58</v>
      </c>
      <c r="D15" s="266">
        <v>19414.919999999998</v>
      </c>
      <c r="E15" s="266">
        <v>18538.12</v>
      </c>
      <c r="F15" s="316">
        <v>20952.63</v>
      </c>
      <c r="G15" s="316">
        <v>18793.560000000001</v>
      </c>
      <c r="H15" s="266">
        <v>21456.25</v>
      </c>
      <c r="I15" s="266">
        <v>20337.349999999999</v>
      </c>
      <c r="J15" s="316">
        <v>23852.46</v>
      </c>
      <c r="K15" s="316">
        <v>22142.09</v>
      </c>
      <c r="L15" s="266">
        <v>24473.1</v>
      </c>
      <c r="M15" s="266">
        <v>23635.93</v>
      </c>
      <c r="N15" s="2"/>
    </row>
    <row r="16" spans="1:14" x14ac:dyDescent="0.2">
      <c r="A16" s="6" t="s">
        <v>659</v>
      </c>
      <c r="B16" s="316">
        <v>19107.13</v>
      </c>
      <c r="C16" s="316">
        <v>16484.18</v>
      </c>
      <c r="D16" s="266">
        <v>20016.689999999999</v>
      </c>
      <c r="E16" s="266">
        <v>19278.259999999998</v>
      </c>
      <c r="F16" s="316">
        <v>21457.64</v>
      </c>
      <c r="G16" s="316">
        <v>19504.349999999999</v>
      </c>
      <c r="H16" s="266">
        <v>22096.44</v>
      </c>
      <c r="I16" s="266">
        <v>20778.830000000002</v>
      </c>
      <c r="J16" s="316">
        <v>24298.35</v>
      </c>
      <c r="K16" s="316">
        <v>22583.57</v>
      </c>
      <c r="L16" s="266">
        <v>25019.14</v>
      </c>
      <c r="M16" s="266">
        <v>24077.41</v>
      </c>
      <c r="N16" s="2"/>
    </row>
    <row r="17" spans="1:14" x14ac:dyDescent="0.2">
      <c r="A17" s="6" t="s">
        <v>660</v>
      </c>
      <c r="B17" s="316">
        <v>19659.32</v>
      </c>
      <c r="C17" s="316">
        <v>16866.78</v>
      </c>
      <c r="D17" s="266">
        <v>20618.46</v>
      </c>
      <c r="E17" s="266">
        <v>20018.400000000001</v>
      </c>
      <c r="F17" s="316">
        <v>21962.65</v>
      </c>
      <c r="G17" s="316">
        <v>20215.14</v>
      </c>
      <c r="H17" s="266">
        <v>22736.63</v>
      </c>
      <c r="I17" s="266">
        <v>21542.92</v>
      </c>
      <c r="J17" s="316">
        <v>24744.240000000002</v>
      </c>
      <c r="K17" s="316">
        <v>23319.919999999998</v>
      </c>
      <c r="L17" s="266">
        <v>25741.58</v>
      </c>
      <c r="M17" s="266">
        <v>24872.04</v>
      </c>
      <c r="N17" s="2"/>
    </row>
    <row r="18" spans="1:14" x14ac:dyDescent="0.2">
      <c r="A18" s="6" t="s">
        <v>661</v>
      </c>
      <c r="B18" s="316"/>
      <c r="C18" s="316"/>
      <c r="D18" s="266">
        <v>21220.23</v>
      </c>
      <c r="E18" s="266">
        <v>20758.54</v>
      </c>
      <c r="F18" s="316">
        <v>22467.66</v>
      </c>
      <c r="G18" s="316">
        <v>20925.93</v>
      </c>
      <c r="H18" s="266">
        <v>23376.82</v>
      </c>
      <c r="I18" s="266">
        <v>22307.01</v>
      </c>
      <c r="J18" s="316">
        <v>25190.13</v>
      </c>
      <c r="K18" s="316">
        <v>24056.27</v>
      </c>
      <c r="L18" s="266">
        <v>26464.02</v>
      </c>
      <c r="M18" s="266">
        <v>25666.67</v>
      </c>
      <c r="N18" s="2"/>
    </row>
    <row r="19" spans="1:14" x14ac:dyDescent="0.2">
      <c r="A19" s="6" t="s">
        <v>662</v>
      </c>
      <c r="B19" s="316"/>
      <c r="C19" s="316"/>
      <c r="D19" s="266">
        <v>21822</v>
      </c>
      <c r="E19" s="266">
        <v>21498.68</v>
      </c>
      <c r="F19" s="316">
        <v>22972.67</v>
      </c>
      <c r="G19" s="316">
        <v>21636.720000000001</v>
      </c>
      <c r="H19" s="266">
        <v>23837.58</v>
      </c>
      <c r="I19" s="266">
        <v>23071.1</v>
      </c>
      <c r="J19" s="316">
        <v>25636.02</v>
      </c>
      <c r="K19" s="316">
        <v>24792.62</v>
      </c>
      <c r="L19" s="266">
        <v>27186.46</v>
      </c>
      <c r="M19" s="266">
        <v>26461.3</v>
      </c>
      <c r="N19" s="2"/>
    </row>
    <row r="20" spans="1:14" x14ac:dyDescent="0.2">
      <c r="A20" s="6" t="s">
        <v>663</v>
      </c>
      <c r="B20" s="316"/>
      <c r="C20" s="316"/>
      <c r="D20" s="266">
        <v>22423.77</v>
      </c>
      <c r="E20" s="266">
        <v>22238.82</v>
      </c>
      <c r="F20" s="316">
        <v>23477.68</v>
      </c>
      <c r="G20" s="316">
        <v>22347.51</v>
      </c>
      <c r="H20" s="266">
        <v>24298.34</v>
      </c>
      <c r="I20" s="266">
        <v>23835.19</v>
      </c>
      <c r="J20" s="316">
        <v>26081.91</v>
      </c>
      <c r="K20" s="316">
        <v>25528.97</v>
      </c>
      <c r="L20" s="266">
        <v>27908.9</v>
      </c>
      <c r="M20" s="266">
        <v>27255.93</v>
      </c>
      <c r="N20" s="2"/>
    </row>
    <row r="21" spans="1:14" x14ac:dyDescent="0.2">
      <c r="A21" s="6" t="s">
        <v>664</v>
      </c>
      <c r="B21" s="316"/>
      <c r="C21" s="316"/>
      <c r="D21" s="266"/>
      <c r="E21" s="266"/>
      <c r="F21" s="316">
        <v>23982.69</v>
      </c>
      <c r="G21" s="316">
        <v>23063.85</v>
      </c>
      <c r="H21" s="266">
        <v>24759.1</v>
      </c>
      <c r="I21" s="266">
        <v>24599.279999999999</v>
      </c>
      <c r="J21" s="316">
        <v>26527.8</v>
      </c>
      <c r="K21" s="316">
        <v>26265.32</v>
      </c>
      <c r="L21" s="266">
        <v>28631.34</v>
      </c>
      <c r="M21" s="266">
        <v>28050.560000000001</v>
      </c>
      <c r="N21" s="2"/>
    </row>
    <row r="22" spans="1:14" x14ac:dyDescent="0.2">
      <c r="A22" s="4" t="s">
        <v>665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/>
    </row>
    <row r="23" spans="1:14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24" t="s">
        <v>666</v>
      </c>
      <c r="N23" s="2"/>
    </row>
    <row r="24" spans="1:14" x14ac:dyDescent="0.2">
      <c r="A24" s="257"/>
      <c r="B24" s="369" t="s">
        <v>667</v>
      </c>
      <c r="C24" s="370"/>
      <c r="D24" s="371"/>
      <c r="E24" s="372" t="s">
        <v>668</v>
      </c>
      <c r="F24" s="373"/>
      <c r="G24" s="373"/>
      <c r="H24" s="374"/>
      <c r="K24" s="258"/>
      <c r="L24" s="210"/>
      <c r="M24" s="325" t="s">
        <v>669</v>
      </c>
      <c r="N24" s="327" t="s">
        <v>670</v>
      </c>
    </row>
    <row r="25" spans="1:14" x14ac:dyDescent="0.2">
      <c r="A25" s="257"/>
      <c r="B25" s="319" t="s">
        <v>155</v>
      </c>
      <c r="C25" s="320" t="s">
        <v>671</v>
      </c>
      <c r="D25" s="321" t="s">
        <v>672</v>
      </c>
      <c r="E25" s="319" t="s">
        <v>155</v>
      </c>
      <c r="F25" s="322" t="s">
        <v>673</v>
      </c>
      <c r="G25" s="323" t="s">
        <v>674</v>
      </c>
      <c r="H25" s="321" t="s">
        <v>672</v>
      </c>
      <c r="I25" s="375" t="s">
        <v>675</v>
      </c>
      <c r="J25" s="376"/>
      <c r="K25" s="375" t="s">
        <v>676</v>
      </c>
      <c r="L25" s="377"/>
      <c r="M25" s="326" t="s">
        <v>220</v>
      </c>
      <c r="N25" s="328" t="s">
        <v>677</v>
      </c>
    </row>
    <row r="26" spans="1:14" x14ac:dyDescent="0.2">
      <c r="A26" s="329" t="s">
        <v>678</v>
      </c>
      <c r="B26" s="331">
        <f>Jan!AK40/0.041666667</f>
        <v>0</v>
      </c>
      <c r="C26" s="332">
        <f>Jan!AD40/0.041666667</f>
        <v>0</v>
      </c>
      <c r="D26" s="333">
        <f>IF(Jan!G48="x",Jan!AB51/0.041666667,0)</f>
        <v>0</v>
      </c>
      <c r="E26" s="342">
        <f>Jan!AK40/0.041666667</f>
        <v>0</v>
      </c>
      <c r="F26" s="343">
        <f>Jan!AF40/0.041666667</f>
        <v>0</v>
      </c>
      <c r="G26" s="343">
        <f>Jan!AG40/0.041666667</f>
        <v>0</v>
      </c>
      <c r="H26" s="344">
        <f>IF(Jan!G48="x",Jan!AB51/0.041666667,0)</f>
        <v>0</v>
      </c>
      <c r="I26" s="337">
        <f>(B26*Jan!AH43)+(C26*Jan!AH51)+(D26*Jan!AH44)</f>
        <v>0</v>
      </c>
      <c r="J26" s="338"/>
      <c r="K26" s="348">
        <f>(E26*Jan!AK43)+(F26*Jan!AK51)+(G26*Jan!AK52)+(H26*Jan!AK43)</f>
        <v>0</v>
      </c>
      <c r="L26" s="349"/>
      <c r="M26" s="272">
        <f t="shared" ref="M26:M37" si="0">K26-I26</f>
        <v>0</v>
      </c>
      <c r="N26" s="356">
        <f>M26</f>
        <v>0</v>
      </c>
    </row>
    <row r="27" spans="1:14" x14ac:dyDescent="0.2">
      <c r="A27" s="329" t="s">
        <v>679</v>
      </c>
      <c r="B27" s="331">
        <f>Fév!AK38/0.041666667</f>
        <v>0</v>
      </c>
      <c r="C27" s="332">
        <f>Fév!AD38/0.041666667</f>
        <v>0</v>
      </c>
      <c r="D27" s="333">
        <f>IF(Fév!G46="x",Fév!AB49/0.041666667,0)</f>
        <v>0</v>
      </c>
      <c r="E27" s="342">
        <f>Fév!AK38/0.041666667</f>
        <v>0</v>
      </c>
      <c r="F27" s="343">
        <f>Fév!AF38/0.041666667</f>
        <v>0</v>
      </c>
      <c r="G27" s="343">
        <f>Fév!AG38/0.041666667</f>
        <v>0</v>
      </c>
      <c r="H27" s="344">
        <f>IF(Fév!G46="x",Fév!AB49/0.041666667,0)</f>
        <v>0</v>
      </c>
      <c r="I27" s="337">
        <f>(B27*Fév!AH41)+(C27*Fév!AH49)+(D27*Fév!AH42)</f>
        <v>0</v>
      </c>
      <c r="J27" s="339"/>
      <c r="K27" s="348">
        <f>(E27*Fév!AK41)+(F27*Fév!AK49)+(G27*Fév!AK50)+(H27*Fév!AK41)</f>
        <v>0</v>
      </c>
      <c r="L27" s="349"/>
      <c r="M27" s="273">
        <f t="shared" si="0"/>
        <v>0</v>
      </c>
      <c r="N27" s="274">
        <f>M26+M27</f>
        <v>0</v>
      </c>
    </row>
    <row r="28" spans="1:14" x14ac:dyDescent="0.2">
      <c r="A28" s="329" t="s">
        <v>680</v>
      </c>
      <c r="B28" s="331">
        <f>Mar!AK40/0.041666667</f>
        <v>0</v>
      </c>
      <c r="C28" s="332">
        <f>Mar!AD40/0.041666667</f>
        <v>0</v>
      </c>
      <c r="D28" s="333">
        <f>IF(Mar!G48="x",Mar!AB51/0.041666667,0)</f>
        <v>0</v>
      </c>
      <c r="E28" s="342">
        <f>Mar!AK40/0.041666667</f>
        <v>0</v>
      </c>
      <c r="F28" s="343">
        <f>Mar!AF40/0.041666667</f>
        <v>0</v>
      </c>
      <c r="G28" s="343">
        <f>Mar!AG40/0.041666667</f>
        <v>0</v>
      </c>
      <c r="H28" s="344">
        <f>IF(Mar!G48="x",Mar!AB51/0.041666667,0)</f>
        <v>0</v>
      </c>
      <c r="I28" s="337">
        <f>(B28*Mar!AH43)+(C28*Mar!AH51)+(D28*Mar!AH44)</f>
        <v>0</v>
      </c>
      <c r="J28" s="339"/>
      <c r="K28" s="348">
        <f>(E28*Mar!AK43)+(F28*Mar!AK51)+(G28*Mar!AK52)+(H28*Mar!AK43)</f>
        <v>0</v>
      </c>
      <c r="L28" s="349"/>
      <c r="M28" s="273">
        <f t="shared" si="0"/>
        <v>0</v>
      </c>
      <c r="N28" s="274">
        <f>N27+M28</f>
        <v>0</v>
      </c>
    </row>
    <row r="29" spans="1:14" x14ac:dyDescent="0.2">
      <c r="A29" s="329" t="s">
        <v>681</v>
      </c>
      <c r="B29" s="331">
        <f>Avr!AK39/0.041666667</f>
        <v>0</v>
      </c>
      <c r="C29" s="332">
        <f>Avr!AD39/0.041666667</f>
        <v>0</v>
      </c>
      <c r="D29" s="333">
        <f>IF(Avr!G47="x",Avr!AB48/0.041666667,0)</f>
        <v>0</v>
      </c>
      <c r="E29" s="342">
        <f>Avr!AK39/0.041666667</f>
        <v>0</v>
      </c>
      <c r="F29" s="343">
        <f>Avr!AF39/0.041666667</f>
        <v>0</v>
      </c>
      <c r="G29" s="343">
        <f>Avr!AG39/0.041666667</f>
        <v>0</v>
      </c>
      <c r="H29" s="344">
        <f>IF(Avr!G47="x",Avr!AB48/0.041666667,0)</f>
        <v>0</v>
      </c>
      <c r="I29" s="337">
        <f>(B29*Avr!AH42)+(C29*Avr!AH50)+(D29*Avr!AH43)</f>
        <v>0</v>
      </c>
      <c r="J29" s="339"/>
      <c r="K29" s="348">
        <f>(E29*Avr!AK42)+(F29*Avr!AK51)+(G29*Avr!AK52)+(H29*Avr!AK42)</f>
        <v>0</v>
      </c>
      <c r="L29" s="349"/>
      <c r="M29" s="273">
        <f t="shared" si="0"/>
        <v>0</v>
      </c>
      <c r="N29" s="274">
        <f t="shared" ref="N29:N37" si="1">N28+M29</f>
        <v>0</v>
      </c>
    </row>
    <row r="30" spans="1:14" x14ac:dyDescent="0.2">
      <c r="A30" s="329" t="s">
        <v>682</v>
      </c>
      <c r="B30" s="331">
        <f>Mai!AK40/0.041666667</f>
        <v>0</v>
      </c>
      <c r="C30" s="332">
        <f>Mai!AD40/0.041666667</f>
        <v>0</v>
      </c>
      <c r="D30" s="333">
        <f>IF(Mai!G48="x",Mai!AB51/0.041666667,0)</f>
        <v>0</v>
      </c>
      <c r="E30" s="342">
        <f>Mai!AK40/0.041666667</f>
        <v>0</v>
      </c>
      <c r="F30" s="343">
        <f>Mai!AF40/0.041666667</f>
        <v>0</v>
      </c>
      <c r="G30" s="343">
        <f>Mai!AG40/0.041666667</f>
        <v>0</v>
      </c>
      <c r="H30" s="344">
        <f>IF(Mai!G48="x",Mai!AB51/0.041666667,0)</f>
        <v>0</v>
      </c>
      <c r="I30" s="337">
        <f>(B30*Mai!AH43)+(C30*Mai!AH51)+(D30*Mai!AH44)</f>
        <v>0</v>
      </c>
      <c r="J30" s="339"/>
      <c r="K30" s="348">
        <f>(E30*Mai!AK43)+(F30*Mai!AK51)+(G30*Mai!AK52)+(H30*Mai!AK43)</f>
        <v>0</v>
      </c>
      <c r="L30" s="349"/>
      <c r="M30" s="273">
        <f t="shared" si="0"/>
        <v>0</v>
      </c>
      <c r="N30" s="274">
        <f t="shared" si="1"/>
        <v>0</v>
      </c>
    </row>
    <row r="31" spans="1:14" x14ac:dyDescent="0.2">
      <c r="A31" s="329" t="s">
        <v>683</v>
      </c>
      <c r="B31" s="331">
        <f>Juin!AK39/0.041666667</f>
        <v>0</v>
      </c>
      <c r="C31" s="332">
        <f>Juin!AD39/0.041666667</f>
        <v>0</v>
      </c>
      <c r="D31" s="333">
        <f>IF(Juin!G47="x",Juin!AB48/0.041666667,0)</f>
        <v>0</v>
      </c>
      <c r="E31" s="342">
        <f>Juin!AK39/0.041666667</f>
        <v>0</v>
      </c>
      <c r="F31" s="343">
        <f>Juin!AF39/0.041666667</f>
        <v>0</v>
      </c>
      <c r="G31" s="343">
        <f>Juin!AG39/0.041666667</f>
        <v>0</v>
      </c>
      <c r="H31" s="344">
        <f>IF(Juin!G47="x",Juin!AB48/0.041666667,0)</f>
        <v>0</v>
      </c>
      <c r="I31" s="337">
        <f>(B31*Juin!AH42)+(C31*Juin!AH50)+(D31*Juin!AH43)</f>
        <v>0</v>
      </c>
      <c r="J31" s="339"/>
      <c r="K31" s="348">
        <f>(E31*Juin!AK42)+(F31*Juin!AK50)+(G31*Juin!AK51)+(H31*Juin!AK42)</f>
        <v>0</v>
      </c>
      <c r="L31" s="350"/>
      <c r="M31" s="273">
        <f t="shared" si="0"/>
        <v>0</v>
      </c>
      <c r="N31" s="274">
        <f t="shared" si="1"/>
        <v>0</v>
      </c>
    </row>
    <row r="32" spans="1:14" x14ac:dyDescent="0.2">
      <c r="A32" s="329" t="s">
        <v>684</v>
      </c>
      <c r="B32" s="331">
        <f>Juil!AK40/0.041666667</f>
        <v>0</v>
      </c>
      <c r="C32" s="332">
        <f>Juil!AD40/0.041666667</f>
        <v>0</v>
      </c>
      <c r="D32" s="333">
        <f>IF(Juil!G48="x",Juil!AB51/0.041666667,0)</f>
        <v>0</v>
      </c>
      <c r="E32" s="342">
        <f>Juil!AK40/0.041666667</f>
        <v>0</v>
      </c>
      <c r="F32" s="343">
        <f>Juil!AF40/0.041666667</f>
        <v>0</v>
      </c>
      <c r="G32" s="343">
        <f>Juil!AG40/0.041666667</f>
        <v>0</v>
      </c>
      <c r="H32" s="344">
        <f>IF(Juil!G48="x",Juil!AB51/0.041666667,0)</f>
        <v>0</v>
      </c>
      <c r="I32" s="337">
        <f>(B32*Juil!AH43)+(C32*Juil!AH51)+(D32*Juil!AH44)</f>
        <v>0</v>
      </c>
      <c r="J32" s="339"/>
      <c r="K32" s="348">
        <f>(E32*Juil!AK43)+(F32*Juil!AK51)+(G32*Juil!AK52)+(H32*Juil!AK43)</f>
        <v>0</v>
      </c>
      <c r="L32" s="350"/>
      <c r="M32" s="273">
        <f t="shared" si="0"/>
        <v>0</v>
      </c>
      <c r="N32" s="274">
        <f t="shared" si="1"/>
        <v>0</v>
      </c>
    </row>
    <row r="33" spans="1:14" x14ac:dyDescent="0.2">
      <c r="A33" s="329" t="s">
        <v>685</v>
      </c>
      <c r="B33" s="331">
        <f>Août!AK40/0.041666667</f>
        <v>0</v>
      </c>
      <c r="C33" s="332">
        <f>Août!AD40/0.041666667</f>
        <v>0</v>
      </c>
      <c r="D33" s="333">
        <f>IF(Août!G48="x",Août!AB51/0.041666667,0)</f>
        <v>0</v>
      </c>
      <c r="E33" s="342">
        <f>Août!AK40/0.041666667</f>
        <v>0</v>
      </c>
      <c r="F33" s="343">
        <f>Août!AF40/0.041666667</f>
        <v>0</v>
      </c>
      <c r="G33" s="343">
        <f>Août!AG40/0.041666667</f>
        <v>0</v>
      </c>
      <c r="H33" s="344">
        <f>IF(Août!G48="x",Août!AB51/0.041666667,0)</f>
        <v>0</v>
      </c>
      <c r="I33" s="337">
        <f>(B33*Août!AH43)+(C33*Août!AH51)+(D33*Août!AH44)</f>
        <v>0</v>
      </c>
      <c r="J33" s="339"/>
      <c r="K33" s="348">
        <f>(E33*Août!AK43)+(F33*Août!AK51)+(G33*Août!AK52)+(H33*Août!AK43)</f>
        <v>0</v>
      </c>
      <c r="L33" s="350"/>
      <c r="M33" s="273">
        <f t="shared" si="0"/>
        <v>0</v>
      </c>
      <c r="N33" s="274">
        <f t="shared" si="1"/>
        <v>0</v>
      </c>
    </row>
    <row r="34" spans="1:14" x14ac:dyDescent="0.2">
      <c r="A34" s="329" t="s">
        <v>686</v>
      </c>
      <c r="B34" s="331">
        <f>Sep!AK39/0.041666667</f>
        <v>0</v>
      </c>
      <c r="C34" s="332">
        <f>Sep!AD39/0.041666667</f>
        <v>0</v>
      </c>
      <c r="D34" s="333">
        <f>IF(Sep!G47="x",Sep!AB48/0.041666667,0)</f>
        <v>0</v>
      </c>
      <c r="E34" s="342">
        <f>Sep!AK39/0.041666667</f>
        <v>0</v>
      </c>
      <c r="F34" s="343">
        <f>Sep!AF39/0.041666667</f>
        <v>0</v>
      </c>
      <c r="G34" s="343">
        <f>Sep!AG39/0.041666667</f>
        <v>0</v>
      </c>
      <c r="H34" s="344">
        <f>IF(Sep!G47="x",Sep!AB48/0.041666667,0)</f>
        <v>0</v>
      </c>
      <c r="I34" s="337">
        <f>(B34*Sep!AH42)+(C34*Sep!AH50)+(D34*Sep!AH43)</f>
        <v>0</v>
      </c>
      <c r="J34" s="339"/>
      <c r="K34" s="348">
        <f>(E34*Sep!AK42)+(F34*Sep!AK50)+(G34*Sep!AK51)+(H34*Sep!AK42)</f>
        <v>0</v>
      </c>
      <c r="L34" s="351"/>
      <c r="M34" s="273">
        <f t="shared" si="0"/>
        <v>0</v>
      </c>
      <c r="N34" s="274">
        <f t="shared" si="1"/>
        <v>0</v>
      </c>
    </row>
    <row r="35" spans="1:14" x14ac:dyDescent="0.2">
      <c r="A35" s="329" t="s">
        <v>687</v>
      </c>
      <c r="B35" s="331">
        <f>Oct!AK40/0.041666667</f>
        <v>0</v>
      </c>
      <c r="C35" s="332">
        <f>Oct!AD40/0.041666667</f>
        <v>0</v>
      </c>
      <c r="D35" s="333">
        <f>IF(Oct!G48="x",Oct!AB51/0.041666667,0)</f>
        <v>0</v>
      </c>
      <c r="E35" s="342">
        <f>Oct!AK40/0.041666667</f>
        <v>0</v>
      </c>
      <c r="F35" s="343">
        <f>Oct!AF40/0.041666667</f>
        <v>0</v>
      </c>
      <c r="G35" s="343">
        <f>Oct!AG40/0.041666667</f>
        <v>0</v>
      </c>
      <c r="H35" s="344">
        <f>IF(Oct!G48="x",Oct!AB51/0.041666667,0)</f>
        <v>0</v>
      </c>
      <c r="I35" s="337">
        <f>(B35*Oct!AH43)+(C35*Oct!AH51)+(D35*Oct!AH44)</f>
        <v>0</v>
      </c>
      <c r="J35" s="339"/>
      <c r="K35" s="348">
        <f>(E35*Oct!AK43)+(F35*Oct!AK51)+(G35*Oct!AK52)+(H35*Oct!AK43)</f>
        <v>0</v>
      </c>
      <c r="L35" s="352"/>
      <c r="M35" s="273">
        <f t="shared" si="0"/>
        <v>0</v>
      </c>
      <c r="N35" s="274">
        <f t="shared" si="1"/>
        <v>0</v>
      </c>
    </row>
    <row r="36" spans="1:14" x14ac:dyDescent="0.2">
      <c r="A36" s="329" t="s">
        <v>688</v>
      </c>
      <c r="B36" s="331">
        <f>Nov!AK39/0.041666667</f>
        <v>0</v>
      </c>
      <c r="C36" s="332">
        <f>Nov!AD39/0.041666667</f>
        <v>0</v>
      </c>
      <c r="D36" s="333">
        <f>IF(Nov!G47="x",Nov!AB50/0.041666667,0)</f>
        <v>0</v>
      </c>
      <c r="E36" s="342">
        <f>Nov!AK39/0.041666667</f>
        <v>0</v>
      </c>
      <c r="F36" s="343">
        <f>Nov!AF39/0.041666667</f>
        <v>0</v>
      </c>
      <c r="G36" s="343">
        <f>Nov!AG39/0.041666667</f>
        <v>0</v>
      </c>
      <c r="H36" s="344">
        <f>IF(Nov!G47="x",Nov!AB50/0.041666667,0)</f>
        <v>0</v>
      </c>
      <c r="I36" s="337">
        <f>(B36*Nov!AH42)+(C36*Nov!AH50)+(D36*Nov!AH43)</f>
        <v>0</v>
      </c>
      <c r="J36" s="339"/>
      <c r="K36" s="348">
        <f>(E36*Nov!AK42)+(F36*Nov!AK50)+(G36*Nov!AK51)+(H36*Nov!AK42)</f>
        <v>0</v>
      </c>
      <c r="L36" s="353"/>
      <c r="M36" s="273">
        <f t="shared" si="0"/>
        <v>0</v>
      </c>
      <c r="N36" s="274">
        <f t="shared" si="1"/>
        <v>0</v>
      </c>
    </row>
    <row r="37" spans="1:14" x14ac:dyDescent="0.2">
      <c r="A37" s="330" t="s">
        <v>689</v>
      </c>
      <c r="B37" s="334">
        <f>Déc!AK40/0.041666667</f>
        <v>0</v>
      </c>
      <c r="C37" s="335">
        <f>Déc!AD40/0.041666667</f>
        <v>0</v>
      </c>
      <c r="D37" s="336">
        <f>IF(Déc!G48="x",Déc!AB49/0.041666667,0)</f>
        <v>0</v>
      </c>
      <c r="E37" s="345">
        <f>Déc!AK40/0.041666667</f>
        <v>0</v>
      </c>
      <c r="F37" s="346">
        <f>Déc!AF40/0.041666667</f>
        <v>0</v>
      </c>
      <c r="G37" s="346">
        <f>Déc!AG40/0.041666667</f>
        <v>0</v>
      </c>
      <c r="H37" s="347">
        <f>IF(Déc!G48="x",Déc!AB49/0.041666667,0)</f>
        <v>0</v>
      </c>
      <c r="I37" s="340">
        <f>(B37*Déc!AH44)+(C37*Déc!AH51)+(D37*Déc!AH45)</f>
        <v>0</v>
      </c>
      <c r="J37" s="341"/>
      <c r="K37" s="354">
        <f>(E37*Déc!AK44)+(F37*Déc!AK51)+(G37*Déc!AK52)+(H37*Déc!AK44)</f>
        <v>0</v>
      </c>
      <c r="L37" s="355"/>
      <c r="M37" s="276">
        <f t="shared" si="0"/>
        <v>0</v>
      </c>
      <c r="N37" s="275">
        <f t="shared" si="1"/>
        <v>0</v>
      </c>
    </row>
    <row r="39" spans="1:14" x14ac:dyDescent="0.2">
      <c r="K39" s="8" t="s">
        <v>690</v>
      </c>
      <c r="L39" s="269"/>
      <c r="M39" s="269"/>
      <c r="N39" s="270">
        <f>N37</f>
        <v>0</v>
      </c>
    </row>
    <row r="40" spans="1:14" x14ac:dyDescent="0.2">
      <c r="K40" s="8" t="s">
        <v>691</v>
      </c>
      <c r="L40" s="271"/>
      <c r="M40" s="269"/>
    </row>
    <row r="41" spans="1:14" x14ac:dyDescent="0.2">
      <c r="K41" s="8" t="s">
        <v>692</v>
      </c>
    </row>
  </sheetData>
  <sheetProtection algorithmName="SHA-512" hashValue="Uv5gqSJy1WOr9SDyn2eoVxUGMC2NNcGIfmlgdSmDxZ0V8it+ZtwqWYchKm+s0YDJin+Pf4pq39RrnZnmJyBcHQ==" saltValue="xT64thmwdcIYtdaKoInXwQ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2:U95"/>
  <sheetViews>
    <sheetView showGridLines="0" showRowColHeaders="0" tabSelected="1" workbookViewId="0">
      <pane ySplit="7" topLeftCell="A8" activePane="bottomLeft" state="frozen"/>
      <selection pane="bottomLeft" activeCell="H8" sqref="H8"/>
    </sheetView>
  </sheetViews>
  <sheetFormatPr defaultRowHeight="12.75" x14ac:dyDescent="0.2"/>
  <cols>
    <col min="1" max="1" width="5.28515625" style="2" customWidth="1"/>
    <col min="2" max="2" width="10.7109375" style="2" customWidth="1"/>
    <col min="3" max="3" width="6.7109375" style="2" customWidth="1"/>
    <col min="4" max="4" width="6.42578125" style="2" customWidth="1"/>
    <col min="5" max="5" width="5.140625" style="2" customWidth="1"/>
    <col min="6" max="6" width="11.85546875" style="2" customWidth="1"/>
    <col min="7" max="7" width="9.5703125" style="2" customWidth="1"/>
    <col min="8" max="9" width="9.140625" style="2"/>
    <col min="10" max="10" width="7.85546875" style="2" customWidth="1"/>
    <col min="11" max="13" width="9.140625" style="2"/>
  </cols>
  <sheetData>
    <row r="2" spans="1:21" x14ac:dyDescent="0.2">
      <c r="F2" s="165"/>
      <c r="J2" s="277"/>
    </row>
    <row r="3" spans="1:21" x14ac:dyDescent="0.2">
      <c r="E3" s="102"/>
      <c r="F3" s="165"/>
    </row>
    <row r="4" spans="1:21" x14ac:dyDescent="0.2">
      <c r="E4" s="102"/>
    </row>
    <row r="5" spans="1:21" x14ac:dyDescent="0.2">
      <c r="D5" s="4"/>
      <c r="E5" s="102"/>
      <c r="F5" s="4"/>
      <c r="G5" s="4"/>
    </row>
    <row r="6" spans="1:21" ht="15" x14ac:dyDescent="0.25">
      <c r="A6" s="30"/>
      <c r="B6" s="30"/>
      <c r="F6" s="418" t="s">
        <v>718</v>
      </c>
    </row>
    <row r="7" spans="1:21" x14ac:dyDescent="0.2">
      <c r="A7" s="31"/>
      <c r="B7" s="32"/>
      <c r="F7" s="4"/>
    </row>
    <row r="8" spans="1:21" x14ac:dyDescent="0.2">
      <c r="A8" s="31"/>
      <c r="B8" s="8" t="s">
        <v>37</v>
      </c>
      <c r="H8" s="127"/>
    </row>
    <row r="9" spans="1:21" x14ac:dyDescent="0.2">
      <c r="A9" s="31"/>
      <c r="B9" s="287" t="s">
        <v>38</v>
      </c>
    </row>
    <row r="10" spans="1:21" ht="13.5" thickBot="1" x14ac:dyDescent="0.25">
      <c r="A10" s="31"/>
      <c r="B10" s="288" t="s">
        <v>39</v>
      </c>
      <c r="C10" s="33"/>
      <c r="M10" s="89"/>
      <c r="N10" s="89"/>
      <c r="O10" s="89"/>
      <c r="P10" s="89"/>
      <c r="Q10" s="89"/>
      <c r="R10" s="89"/>
      <c r="S10" s="89"/>
      <c r="T10" s="89"/>
      <c r="U10" s="89"/>
    </row>
    <row r="11" spans="1:21" ht="13.5" thickTop="1" x14ac:dyDescent="0.2">
      <c r="A11" s="31"/>
      <c r="B11" s="32"/>
      <c r="C11" s="34" t="s">
        <v>40</v>
      </c>
      <c r="D11" s="4" t="s">
        <v>41</v>
      </c>
      <c r="E11" s="4" t="s">
        <v>42</v>
      </c>
      <c r="F11" s="4" t="s">
        <v>43</v>
      </c>
      <c r="M11" s="298" t="s">
        <v>695</v>
      </c>
      <c r="N11" s="4"/>
      <c r="O11" s="4"/>
      <c r="P11" s="4"/>
      <c r="Q11" s="4"/>
      <c r="R11" s="4"/>
      <c r="S11" s="4"/>
      <c r="T11" s="4"/>
      <c r="U11" s="4"/>
    </row>
    <row r="12" spans="1:21" x14ac:dyDescent="0.2">
      <c r="A12" s="31"/>
      <c r="C12" s="34" t="s">
        <v>44</v>
      </c>
      <c r="D12" s="35" t="s">
        <v>45</v>
      </c>
      <c r="E12" s="35" t="s">
        <v>44</v>
      </c>
      <c r="F12" s="35" t="s">
        <v>45</v>
      </c>
    </row>
    <row r="13" spans="1:21" x14ac:dyDescent="0.2">
      <c r="A13" s="31"/>
      <c r="B13" s="36" t="s">
        <v>46</v>
      </c>
      <c r="C13" s="226">
        <v>0.33333333333333331</v>
      </c>
      <c r="D13" s="226">
        <v>0.5</v>
      </c>
      <c r="E13" s="226">
        <v>0.58333333333333337</v>
      </c>
      <c r="F13" s="226">
        <v>0.75</v>
      </c>
      <c r="M13" s="4" t="s">
        <v>707</v>
      </c>
      <c r="N13" s="4"/>
      <c r="O13" s="4"/>
      <c r="P13" s="4"/>
      <c r="Q13" s="4"/>
      <c r="R13" s="4"/>
      <c r="S13" s="4"/>
      <c r="T13" s="463">
        <v>0.24</v>
      </c>
      <c r="U13" s="4"/>
    </row>
    <row r="14" spans="1:21" x14ac:dyDescent="0.2">
      <c r="A14" s="31"/>
      <c r="B14" s="36" t="s">
        <v>47</v>
      </c>
      <c r="C14" s="226">
        <v>0.58333333333333337</v>
      </c>
      <c r="D14" s="226">
        <v>0.91666666666666663</v>
      </c>
      <c r="E14" s="226"/>
      <c r="F14" s="226"/>
      <c r="G14" s="78" t="s">
        <v>48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ht="13.5" thickBot="1" x14ac:dyDescent="0.25">
      <c r="A15" s="31"/>
      <c r="B15" s="35" t="s">
        <v>49</v>
      </c>
      <c r="C15" s="227"/>
      <c r="D15" s="226"/>
      <c r="E15" s="226">
        <v>0.91666666666666663</v>
      </c>
      <c r="F15" s="226">
        <v>1</v>
      </c>
      <c r="G15" s="79" t="s">
        <v>50</v>
      </c>
      <c r="M15" s="89"/>
      <c r="N15" s="89"/>
      <c r="O15" s="89"/>
      <c r="P15" s="89"/>
      <c r="Q15" s="89"/>
      <c r="R15" s="89"/>
      <c r="S15" s="89"/>
      <c r="T15" s="89"/>
      <c r="U15" s="89"/>
    </row>
    <row r="16" spans="1:21" ht="13.5" thickTop="1" x14ac:dyDescent="0.2">
      <c r="A16" s="31"/>
      <c r="B16" s="36" t="s">
        <v>49</v>
      </c>
      <c r="C16" s="227">
        <v>0</v>
      </c>
      <c r="D16" s="226">
        <v>0.29166666666666669</v>
      </c>
      <c r="E16" s="226"/>
      <c r="F16" s="226"/>
      <c r="G16" s="37"/>
      <c r="M16" s="298" t="s">
        <v>104</v>
      </c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31"/>
      <c r="B17" s="36" t="s">
        <v>51</v>
      </c>
      <c r="C17" s="289"/>
      <c r="D17" s="290"/>
      <c r="E17" s="290"/>
      <c r="F17" s="290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">
      <c r="B18" s="4" t="s">
        <v>52</v>
      </c>
      <c r="C18" s="291"/>
      <c r="D18" s="290"/>
      <c r="E18" s="290"/>
      <c r="F18" s="290"/>
      <c r="G18" s="37"/>
      <c r="M18" s="4" t="s">
        <v>105</v>
      </c>
      <c r="N18" s="4"/>
      <c r="O18" s="4"/>
      <c r="P18" s="4"/>
      <c r="Q18" s="4"/>
      <c r="R18" s="4"/>
      <c r="S18" s="4"/>
      <c r="T18" s="4"/>
      <c r="U18" s="4"/>
    </row>
    <row r="19" spans="1:21" x14ac:dyDescent="0.2">
      <c r="B19" s="4" t="s">
        <v>53</v>
      </c>
      <c r="M19" s="4" t="s">
        <v>106</v>
      </c>
      <c r="N19" s="4"/>
      <c r="O19" s="4"/>
      <c r="P19" s="4"/>
      <c r="Q19" s="4"/>
      <c r="R19" s="4"/>
      <c r="S19" s="4"/>
      <c r="T19" s="4"/>
      <c r="U19" s="4"/>
    </row>
    <row r="20" spans="1:21" x14ac:dyDescent="0.2">
      <c r="B20" s="4"/>
      <c r="C20" s="4"/>
      <c r="D20" s="4"/>
      <c r="E20" s="4"/>
      <c r="F20" s="4"/>
      <c r="G20" s="4"/>
      <c r="H20" s="4"/>
      <c r="I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3.5" thickBot="1" x14ac:dyDescent="0.25">
      <c r="C21" s="4"/>
      <c r="D21" s="4"/>
      <c r="E21" s="4"/>
      <c r="F21" s="4"/>
      <c r="G21" s="4"/>
      <c r="H21" s="4"/>
      <c r="I21" s="4"/>
      <c r="M21" s="89"/>
      <c r="N21" s="89"/>
      <c r="O21" s="89"/>
      <c r="P21" s="89"/>
      <c r="Q21" s="89"/>
      <c r="R21" s="89"/>
      <c r="S21" s="89"/>
      <c r="T21" s="89"/>
      <c r="U21" s="89"/>
    </row>
    <row r="22" spans="1:21" ht="13.5" thickTop="1" x14ac:dyDescent="0.2">
      <c r="A22" s="56"/>
      <c r="B22" s="4" t="s">
        <v>54</v>
      </c>
      <c r="C22" s="11"/>
      <c r="D22" s="11"/>
      <c r="E22" s="11"/>
      <c r="F22" s="11"/>
      <c r="G22" s="11"/>
      <c r="H22" s="11"/>
      <c r="I22" s="230">
        <v>0</v>
      </c>
      <c r="J22" s="56"/>
      <c r="M22" s="464" t="s">
        <v>696</v>
      </c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56"/>
      <c r="B23" s="4" t="s">
        <v>55</v>
      </c>
      <c r="C23" s="11"/>
      <c r="D23" s="11"/>
      <c r="E23" s="11"/>
      <c r="F23" s="11"/>
      <c r="G23" s="11"/>
      <c r="H23" s="11"/>
      <c r="I23" s="198">
        <v>0</v>
      </c>
      <c r="J23" s="166"/>
      <c r="M23" s="4"/>
      <c r="N23" s="2"/>
      <c r="O23" s="2"/>
      <c r="P23" s="2"/>
      <c r="Q23" s="2"/>
      <c r="R23" s="2"/>
      <c r="S23" s="2"/>
      <c r="T23" s="2"/>
      <c r="U23" s="2"/>
    </row>
    <row r="24" spans="1:21" x14ac:dyDescent="0.2">
      <c r="B24" s="4"/>
      <c r="C24" s="4"/>
      <c r="D24" s="4"/>
      <c r="E24" s="4"/>
      <c r="F24" s="4"/>
      <c r="G24" s="4"/>
      <c r="H24" s="4"/>
      <c r="I24" s="4"/>
      <c r="M24" s="4" t="s">
        <v>698</v>
      </c>
      <c r="N24" s="2"/>
      <c r="O24" s="2"/>
      <c r="P24" s="2"/>
      <c r="Q24" s="2"/>
      <c r="R24" s="2"/>
      <c r="S24" s="2"/>
      <c r="T24" s="2"/>
      <c r="U24" s="2"/>
    </row>
    <row r="25" spans="1:21" x14ac:dyDescent="0.2">
      <c r="B25" s="42" t="s">
        <v>56</v>
      </c>
      <c r="C25" s="13"/>
      <c r="D25" s="13"/>
      <c r="E25" s="13"/>
      <c r="F25" s="120"/>
      <c r="G25" s="13"/>
      <c r="H25" s="13"/>
      <c r="I25" s="121"/>
      <c r="M25" s="4" t="s">
        <v>697</v>
      </c>
      <c r="N25" s="2"/>
      <c r="O25" s="2"/>
      <c r="P25" s="2"/>
      <c r="Q25" s="2"/>
      <c r="R25" s="2"/>
      <c r="S25" s="2"/>
      <c r="T25" s="2"/>
      <c r="U25" s="2"/>
    </row>
    <row r="26" spans="1:21" x14ac:dyDescent="0.2">
      <c r="B26" s="19"/>
      <c r="C26" s="20"/>
      <c r="D26" s="128"/>
      <c r="E26" s="20"/>
      <c r="F26" s="122"/>
      <c r="G26" s="20"/>
      <c r="H26" s="20"/>
      <c r="I26" s="119"/>
      <c r="M26" s="4" t="s">
        <v>699</v>
      </c>
      <c r="N26" s="2"/>
      <c r="O26" s="2"/>
      <c r="P26" s="2"/>
      <c r="Q26" s="2"/>
      <c r="R26" s="2"/>
      <c r="S26" s="2"/>
      <c r="T26" s="2"/>
      <c r="U26" s="2"/>
    </row>
    <row r="27" spans="1:21" x14ac:dyDescent="0.2">
      <c r="B27" s="18" t="s">
        <v>57</v>
      </c>
      <c r="C27" s="46"/>
      <c r="D27" s="46"/>
      <c r="E27" s="46"/>
      <c r="F27" s="46"/>
      <c r="G27" s="46"/>
      <c r="H27" s="46"/>
      <c r="I27" s="48"/>
      <c r="M27" s="4" t="s">
        <v>706</v>
      </c>
      <c r="N27" s="2"/>
      <c r="O27" s="2"/>
      <c r="P27" s="2"/>
      <c r="Q27" s="2"/>
      <c r="R27" s="2"/>
      <c r="S27" s="2"/>
      <c r="T27" s="2"/>
      <c r="U27" s="2"/>
    </row>
    <row r="28" spans="1:21" x14ac:dyDescent="0.2">
      <c r="B28" s="45"/>
      <c r="C28" s="46" t="s">
        <v>58</v>
      </c>
      <c r="D28" s="46"/>
      <c r="E28" s="50">
        <v>10</v>
      </c>
      <c r="F28" s="51" t="s">
        <v>59</v>
      </c>
      <c r="G28" s="52"/>
      <c r="H28" s="52">
        <v>0.33333333333333331</v>
      </c>
      <c r="I28" s="48"/>
      <c r="N28" s="2"/>
    </row>
    <row r="29" spans="1:21" x14ac:dyDescent="0.2">
      <c r="B29" s="18" t="s">
        <v>60</v>
      </c>
      <c r="C29" s="46"/>
      <c r="D29" s="46"/>
      <c r="E29" s="46"/>
      <c r="F29" s="46"/>
      <c r="G29" s="46"/>
      <c r="H29" s="46"/>
      <c r="I29" s="48"/>
      <c r="M29" s="517" t="s">
        <v>719</v>
      </c>
      <c r="N29" s="2"/>
      <c r="P29" s="518" t="s">
        <v>720</v>
      </c>
    </row>
    <row r="30" spans="1:21" ht="13.5" thickBot="1" x14ac:dyDescent="0.25">
      <c r="B30" s="18" t="s">
        <v>61</v>
      </c>
      <c r="C30" s="46"/>
      <c r="D30" s="46"/>
      <c r="E30" s="46"/>
      <c r="F30" s="46"/>
      <c r="G30" s="46"/>
      <c r="H30" s="46"/>
      <c r="I30" s="48"/>
      <c r="M30" s="89"/>
      <c r="N30" s="89"/>
      <c r="O30" s="89"/>
      <c r="P30" s="89"/>
      <c r="Q30" s="89"/>
      <c r="R30" s="89"/>
      <c r="S30" s="89"/>
      <c r="T30" s="89"/>
      <c r="U30" s="89"/>
    </row>
    <row r="31" spans="1:21" ht="13.5" thickTop="1" x14ac:dyDescent="0.2">
      <c r="B31" s="76" t="s">
        <v>62</v>
      </c>
      <c r="C31" s="77" t="s">
        <v>63</v>
      </c>
      <c r="D31" s="46"/>
      <c r="E31" s="46"/>
      <c r="F31" s="46"/>
      <c r="G31" s="46"/>
      <c r="H31" s="46"/>
      <c r="I31" s="48"/>
      <c r="M31" s="464" t="s">
        <v>700</v>
      </c>
      <c r="N31" s="2"/>
      <c r="O31" s="2"/>
      <c r="P31" s="2"/>
      <c r="Q31" s="2"/>
      <c r="R31" s="2"/>
      <c r="S31" s="2"/>
      <c r="T31" s="2"/>
      <c r="U31" s="2"/>
    </row>
    <row r="32" spans="1:21" x14ac:dyDescent="0.2">
      <c r="B32" s="45"/>
      <c r="C32" s="77" t="s">
        <v>64</v>
      </c>
      <c r="D32" s="46"/>
      <c r="E32" s="77"/>
      <c r="F32" s="46"/>
      <c r="G32" s="46"/>
      <c r="H32" s="46"/>
      <c r="I32" s="48"/>
      <c r="J32" s="38"/>
      <c r="N32" s="2"/>
    </row>
    <row r="33" spans="2:21" x14ac:dyDescent="0.2">
      <c r="B33" s="53"/>
      <c r="C33" s="54"/>
      <c r="D33" s="54"/>
      <c r="E33" s="54"/>
      <c r="F33" s="54"/>
      <c r="G33" s="54"/>
      <c r="H33" s="54"/>
      <c r="I33" s="55"/>
      <c r="J33" s="38"/>
      <c r="M33" s="4" t="s">
        <v>705</v>
      </c>
      <c r="N33" s="2"/>
    </row>
    <row r="34" spans="2:21" x14ac:dyDescent="0.2">
      <c r="B34" s="42"/>
      <c r="C34" s="43"/>
      <c r="D34" s="43"/>
      <c r="E34" s="43"/>
      <c r="F34" s="43"/>
      <c r="G34" s="43"/>
      <c r="H34" s="43"/>
      <c r="I34" s="44"/>
      <c r="J34" s="38"/>
      <c r="M34" s="4" t="s">
        <v>701</v>
      </c>
      <c r="N34" s="2"/>
    </row>
    <row r="35" spans="2:21" x14ac:dyDescent="0.2">
      <c r="B35" s="45"/>
      <c r="C35" s="46"/>
      <c r="D35" s="46"/>
      <c r="E35" s="47" t="s">
        <v>65</v>
      </c>
      <c r="F35" s="47" t="s">
        <v>66</v>
      </c>
      <c r="H35" s="47" t="s">
        <v>67</v>
      </c>
      <c r="I35" s="299" t="s">
        <v>68</v>
      </c>
      <c r="M35" s="4" t="s">
        <v>702</v>
      </c>
      <c r="N35" s="2"/>
    </row>
    <row r="36" spans="2:21" x14ac:dyDescent="0.2">
      <c r="B36" s="45"/>
      <c r="C36" s="46"/>
      <c r="D36" s="49"/>
      <c r="E36" s="40">
        <v>1</v>
      </c>
      <c r="F36" s="292" t="s">
        <v>69</v>
      </c>
      <c r="G36" s="293"/>
      <c r="H36" s="237">
        <v>0.31666666666666665</v>
      </c>
      <c r="I36" s="236">
        <v>0.15833333333333333</v>
      </c>
      <c r="M36" s="4" t="s">
        <v>703</v>
      </c>
      <c r="N36" s="2"/>
    </row>
    <row r="37" spans="2:21" ht="13.5" thickBot="1" x14ac:dyDescent="0.25">
      <c r="B37" s="45"/>
      <c r="C37" s="46"/>
      <c r="D37" s="47"/>
      <c r="E37" s="40">
        <v>2</v>
      </c>
      <c r="F37" s="294" t="s">
        <v>70</v>
      </c>
      <c r="G37" s="295"/>
      <c r="H37" s="238">
        <v>0.15833333333333333</v>
      </c>
      <c r="I37" s="236">
        <v>7.9166666666666663E-2</v>
      </c>
      <c r="M37" s="89"/>
      <c r="N37" s="89"/>
      <c r="O37" s="89"/>
      <c r="P37" s="89"/>
      <c r="Q37" s="89"/>
      <c r="R37" s="89"/>
      <c r="S37" s="89"/>
      <c r="T37" s="89"/>
      <c r="U37" s="89"/>
    </row>
    <row r="38" spans="2:21" ht="13.5" thickTop="1" x14ac:dyDescent="0.2">
      <c r="B38" s="18" t="s">
        <v>71</v>
      </c>
      <c r="C38" s="21"/>
      <c r="D38" s="47"/>
      <c r="E38" s="40">
        <v>3</v>
      </c>
      <c r="F38" s="296" t="s">
        <v>72</v>
      </c>
      <c r="G38" s="297"/>
      <c r="H38" s="237">
        <v>0.31666666666666665</v>
      </c>
      <c r="I38" s="236">
        <v>0.15833333333333333</v>
      </c>
      <c r="M38" s="464" t="s">
        <v>704</v>
      </c>
      <c r="N38" s="2"/>
    </row>
    <row r="39" spans="2:21" x14ac:dyDescent="0.2">
      <c r="B39" s="18" t="s">
        <v>73</v>
      </c>
      <c r="C39" s="21"/>
      <c r="D39" s="47"/>
      <c r="E39" s="40">
        <v>4</v>
      </c>
      <c r="F39" s="296" t="s">
        <v>74</v>
      </c>
      <c r="G39" s="297"/>
      <c r="H39" s="237">
        <v>0.31666666666666665</v>
      </c>
      <c r="I39" s="236">
        <v>0.15833333333333333</v>
      </c>
      <c r="N39" s="2"/>
    </row>
    <row r="40" spans="2:21" x14ac:dyDescent="0.2">
      <c r="B40" s="18" t="s">
        <v>75</v>
      </c>
      <c r="C40" s="21"/>
      <c r="D40" s="47"/>
      <c r="E40" s="40">
        <v>5</v>
      </c>
      <c r="F40" s="296" t="s">
        <v>76</v>
      </c>
      <c r="G40" s="297"/>
      <c r="H40" s="237">
        <v>0.31666666666666665</v>
      </c>
      <c r="I40" s="235"/>
      <c r="M40" s="4" t="s">
        <v>721</v>
      </c>
      <c r="N40" s="2"/>
    </row>
    <row r="41" spans="2:21" x14ac:dyDescent="0.2">
      <c r="B41" s="18" t="s">
        <v>77</v>
      </c>
      <c r="C41" s="21"/>
      <c r="D41" s="47"/>
      <c r="E41" s="40">
        <v>6</v>
      </c>
      <c r="F41" s="294" t="s">
        <v>78</v>
      </c>
      <c r="G41" s="295"/>
      <c r="H41" s="237">
        <v>0.15833333333333333</v>
      </c>
      <c r="I41" s="235"/>
      <c r="M41" s="4" t="s">
        <v>711</v>
      </c>
      <c r="N41" s="2"/>
    </row>
    <row r="42" spans="2:21" x14ac:dyDescent="0.2">
      <c r="B42" s="18" t="s">
        <v>79</v>
      </c>
      <c r="C42" s="21"/>
      <c r="D42" s="47"/>
      <c r="E42" s="40">
        <v>7</v>
      </c>
      <c r="F42" s="294" t="s">
        <v>80</v>
      </c>
      <c r="G42" s="295"/>
      <c r="H42" s="237">
        <v>0.31666666666666665</v>
      </c>
      <c r="I42" s="235"/>
      <c r="M42" s="4" t="s">
        <v>708</v>
      </c>
      <c r="N42" s="2"/>
    </row>
    <row r="43" spans="2:21" x14ac:dyDescent="0.2">
      <c r="B43" s="18"/>
      <c r="C43" s="21"/>
      <c r="D43" s="47"/>
      <c r="E43" s="310" t="s">
        <v>81</v>
      </c>
      <c r="G43" s="110" t="s">
        <v>82</v>
      </c>
      <c r="H43" s="237">
        <v>0</v>
      </c>
      <c r="I43" s="235"/>
      <c r="M43" s="4" t="s">
        <v>712</v>
      </c>
      <c r="N43" s="2"/>
    </row>
    <row r="44" spans="2:21" x14ac:dyDescent="0.2">
      <c r="B44" s="18" t="s">
        <v>83</v>
      </c>
      <c r="C44" s="21"/>
      <c r="D44" s="47"/>
      <c r="E44" s="310" t="s">
        <v>84</v>
      </c>
      <c r="F44" s="110"/>
      <c r="G44" s="111" t="s">
        <v>85</v>
      </c>
      <c r="H44" s="237">
        <v>0.31666666666666665</v>
      </c>
      <c r="I44" s="236">
        <v>0.15833333333333333</v>
      </c>
    </row>
    <row r="45" spans="2:21" ht="13.5" thickBot="1" x14ac:dyDescent="0.25">
      <c r="B45" s="18" t="s">
        <v>86</v>
      </c>
      <c r="C45" s="21"/>
      <c r="D45" s="21"/>
      <c r="E45" s="311" t="s">
        <v>87</v>
      </c>
      <c r="F45" s="115"/>
      <c r="G45" s="111" t="s">
        <v>88</v>
      </c>
      <c r="H45" s="239">
        <v>0</v>
      </c>
      <c r="I45" s="235"/>
      <c r="M45" s="89"/>
      <c r="N45" s="89"/>
      <c r="O45" s="89"/>
      <c r="P45" s="89"/>
      <c r="Q45" s="89"/>
      <c r="R45" s="89"/>
      <c r="S45" s="89"/>
      <c r="T45" s="89"/>
      <c r="U45" s="89"/>
    </row>
    <row r="46" spans="2:21" ht="13.5" thickTop="1" x14ac:dyDescent="0.2">
      <c r="B46" s="18" t="s">
        <v>89</v>
      </c>
      <c r="C46" s="4"/>
      <c r="D46" s="4"/>
      <c r="E46" s="311" t="s">
        <v>90</v>
      </c>
      <c r="F46" s="115"/>
      <c r="G46" s="111" t="s">
        <v>91</v>
      </c>
      <c r="H46" s="358">
        <v>0</v>
      </c>
      <c r="I46" s="235"/>
      <c r="M46" s="298" t="s">
        <v>715</v>
      </c>
      <c r="N46" s="2"/>
    </row>
    <row r="47" spans="2:21" x14ac:dyDescent="0.2">
      <c r="B47" s="18" t="s">
        <v>92</v>
      </c>
      <c r="C47" s="4"/>
      <c r="D47" s="4"/>
      <c r="E47" s="378">
        <v>8</v>
      </c>
      <c r="F47" s="129"/>
      <c r="G47" s="130"/>
      <c r="H47" s="239"/>
      <c r="I47" s="383"/>
      <c r="N47" s="2"/>
    </row>
    <row r="48" spans="2:21" x14ac:dyDescent="0.2">
      <c r="B48" s="18" t="s">
        <v>93</v>
      </c>
      <c r="C48" s="4"/>
      <c r="D48" s="4"/>
      <c r="E48" s="378">
        <v>9</v>
      </c>
      <c r="F48" s="129"/>
      <c r="G48" s="130"/>
      <c r="H48" s="239"/>
      <c r="I48" s="383"/>
      <c r="M48" s="4" t="s">
        <v>716</v>
      </c>
      <c r="N48" s="2"/>
    </row>
    <row r="49" spans="2:21" x14ac:dyDescent="0.2">
      <c r="B49" s="18"/>
      <c r="C49" s="4"/>
      <c r="D49" s="4"/>
      <c r="E49" s="379">
        <v>10</v>
      </c>
      <c r="F49" s="131"/>
      <c r="G49" s="132"/>
      <c r="H49" s="240"/>
      <c r="I49" s="383"/>
      <c r="M49" s="4" t="s">
        <v>717</v>
      </c>
      <c r="N49" s="2"/>
    </row>
    <row r="50" spans="2:21" x14ac:dyDescent="0.2">
      <c r="B50" s="18" t="s">
        <v>94</v>
      </c>
      <c r="C50" s="4"/>
      <c r="D50" s="4"/>
      <c r="E50" s="380">
        <v>11</v>
      </c>
      <c r="F50" s="167"/>
      <c r="G50" s="168"/>
      <c r="H50" s="241"/>
      <c r="I50" s="383"/>
    </row>
    <row r="51" spans="2:21" x14ac:dyDescent="0.2">
      <c r="B51" s="18" t="s">
        <v>95</v>
      </c>
      <c r="C51" s="21"/>
      <c r="D51" s="21"/>
      <c r="E51" s="378">
        <v>12</v>
      </c>
      <c r="F51" s="129"/>
      <c r="G51" s="130"/>
      <c r="H51" s="239"/>
      <c r="I51" s="383"/>
    </row>
    <row r="52" spans="2:21" x14ac:dyDescent="0.2">
      <c r="B52" s="18" t="s">
        <v>96</v>
      </c>
      <c r="C52" s="4"/>
      <c r="D52" s="4"/>
      <c r="E52" s="378">
        <v>13</v>
      </c>
      <c r="F52" s="129"/>
      <c r="G52" s="130"/>
      <c r="H52" s="239"/>
      <c r="I52" s="383"/>
    </row>
    <row r="53" spans="2:21" x14ac:dyDescent="0.2">
      <c r="B53" s="18" t="s">
        <v>97</v>
      </c>
      <c r="C53" s="4"/>
      <c r="D53" s="4"/>
      <c r="E53" s="378">
        <v>14</v>
      </c>
      <c r="F53" s="129"/>
      <c r="G53" s="130"/>
      <c r="H53" s="239"/>
      <c r="I53" s="383"/>
      <c r="M53" s="4" t="s">
        <v>693</v>
      </c>
    </row>
    <row r="54" spans="2:21" x14ac:dyDescent="0.2">
      <c r="B54" s="18"/>
      <c r="C54" s="4"/>
      <c r="D54" s="4"/>
      <c r="E54" s="378">
        <v>15</v>
      </c>
      <c r="F54" s="129"/>
      <c r="G54" s="130"/>
      <c r="H54" s="239"/>
      <c r="I54" s="383"/>
    </row>
    <row r="55" spans="2:21" x14ac:dyDescent="0.2">
      <c r="B55" s="18"/>
      <c r="C55" s="4"/>
      <c r="D55" s="4"/>
      <c r="E55" s="378">
        <v>16</v>
      </c>
      <c r="F55" s="129"/>
      <c r="G55" s="130"/>
      <c r="H55" s="239"/>
      <c r="I55" s="383"/>
    </row>
    <row r="56" spans="2:21" x14ac:dyDescent="0.2">
      <c r="B56" s="18"/>
      <c r="C56" s="4"/>
      <c r="D56" s="4"/>
      <c r="E56" s="378">
        <v>17</v>
      </c>
      <c r="F56" s="129"/>
      <c r="G56" s="130"/>
      <c r="H56" s="239"/>
      <c r="I56" s="383"/>
      <c r="N56" s="389"/>
      <c r="O56" s="389"/>
      <c r="P56" s="389"/>
      <c r="Q56" s="389"/>
      <c r="R56" s="389"/>
      <c r="S56" s="389"/>
      <c r="T56" s="389"/>
      <c r="U56" s="389"/>
    </row>
    <row r="57" spans="2:21" x14ac:dyDescent="0.2">
      <c r="B57" s="18"/>
      <c r="C57" s="4"/>
      <c r="D57" s="4"/>
      <c r="E57" s="378">
        <v>18</v>
      </c>
      <c r="F57" s="129"/>
      <c r="G57" s="130"/>
      <c r="H57" s="239"/>
      <c r="I57" s="383"/>
    </row>
    <row r="58" spans="2:21" x14ac:dyDescent="0.2">
      <c r="B58" s="18"/>
      <c r="C58" s="4"/>
      <c r="D58" s="4"/>
      <c r="E58" s="381">
        <v>19</v>
      </c>
      <c r="F58" s="169"/>
      <c r="G58" s="170"/>
      <c r="H58" s="242"/>
      <c r="I58" s="383"/>
    </row>
    <row r="59" spans="2:21" ht="13.5" thickBot="1" x14ac:dyDescent="0.25">
      <c r="B59" s="15"/>
      <c r="C59" s="16"/>
      <c r="D59" s="16"/>
      <c r="E59" s="382">
        <v>20</v>
      </c>
      <c r="F59" s="171"/>
      <c r="G59" s="172"/>
      <c r="H59" s="243"/>
      <c r="I59" s="384"/>
      <c r="J59" s="89"/>
    </row>
    <row r="60" spans="2:21" ht="13.5" thickTop="1" x14ac:dyDescent="0.2">
      <c r="B60" s="80"/>
      <c r="F60" s="4" t="s">
        <v>98</v>
      </c>
    </row>
    <row r="61" spans="2:21" x14ac:dyDescent="0.2">
      <c r="B61" s="80" t="s">
        <v>99</v>
      </c>
      <c r="F61" s="4" t="s">
        <v>714</v>
      </c>
      <c r="I61" s="309">
        <v>0</v>
      </c>
    </row>
    <row r="62" spans="2:21" x14ac:dyDescent="0.2">
      <c r="B62" s="4" t="s">
        <v>100</v>
      </c>
    </row>
    <row r="63" spans="2:21" x14ac:dyDescent="0.2">
      <c r="B63" s="4" t="s">
        <v>101</v>
      </c>
    </row>
    <row r="64" spans="2:21" x14ac:dyDescent="0.2">
      <c r="B64" s="4" t="s">
        <v>102</v>
      </c>
    </row>
    <row r="65" spans="1:13" x14ac:dyDescent="0.2">
      <c r="B65" s="4" t="s">
        <v>103</v>
      </c>
    </row>
    <row r="67" spans="1:13" s="8" customFormat="1" ht="11.25" x14ac:dyDescent="0.2">
      <c r="A67" s="4"/>
      <c r="K67" s="4"/>
      <c r="L67" s="4"/>
      <c r="M67" s="4"/>
    </row>
    <row r="68" spans="1:13" s="8" customFormat="1" ht="11.25" x14ac:dyDescent="0.2">
      <c r="A68" s="4"/>
      <c r="K68" s="4"/>
      <c r="L68" s="4"/>
      <c r="M68" s="4"/>
    </row>
    <row r="69" spans="1:13" s="8" customFormat="1" ht="11.25" x14ac:dyDescent="0.2">
      <c r="A69" s="4"/>
      <c r="K69" s="4"/>
      <c r="L69" s="4"/>
      <c r="M69" s="4"/>
    </row>
    <row r="70" spans="1:13" s="8" customFormat="1" ht="11.25" x14ac:dyDescent="0.2">
      <c r="A70" s="4"/>
      <c r="K70" s="4"/>
      <c r="L70" s="4"/>
      <c r="M70" s="4"/>
    </row>
    <row r="71" spans="1:13" s="8" customFormat="1" ht="11.25" x14ac:dyDescent="0.2">
      <c r="A71" s="4"/>
      <c r="K71" s="389"/>
      <c r="L71" s="4"/>
      <c r="M71" s="4"/>
    </row>
    <row r="72" spans="1:13" s="8" customFormat="1" ht="11.25" x14ac:dyDescent="0.2">
      <c r="A72" s="4"/>
      <c r="K72" s="389"/>
      <c r="L72" s="4"/>
      <c r="M72" s="4"/>
    </row>
    <row r="73" spans="1:13" s="8" customFormat="1" ht="11.25" x14ac:dyDescent="0.2">
      <c r="A73" s="4"/>
      <c r="B73" s="4"/>
      <c r="C73" s="389"/>
      <c r="D73" s="389"/>
      <c r="E73" s="389" t="s">
        <v>107</v>
      </c>
      <c r="F73" s="389"/>
      <c r="G73" s="389"/>
      <c r="H73" s="389" t="s">
        <v>108</v>
      </c>
      <c r="I73" s="389"/>
      <c r="J73" s="389"/>
      <c r="K73" s="389"/>
      <c r="L73" s="4"/>
      <c r="M73" s="4"/>
    </row>
    <row r="74" spans="1:13" s="8" customFormat="1" ht="14.1" customHeight="1" x14ac:dyDescent="0.2">
      <c r="A74" s="4"/>
      <c r="B74" s="4"/>
      <c r="C74" s="389"/>
      <c r="D74" s="389"/>
      <c r="E74" s="389"/>
      <c r="F74" s="390">
        <v>7420</v>
      </c>
      <c r="G74" s="389"/>
      <c r="H74" s="400">
        <v>0</v>
      </c>
      <c r="I74" s="389" t="s">
        <v>109</v>
      </c>
      <c r="J74" s="389"/>
      <c r="K74" s="389"/>
      <c r="L74" s="4"/>
      <c r="M74" s="4"/>
    </row>
    <row r="75" spans="1:13" s="8" customFormat="1" ht="14.1" customHeight="1" x14ac:dyDescent="0.2">
      <c r="A75" s="4"/>
      <c r="B75" s="389"/>
      <c r="C75" s="389"/>
      <c r="D75" s="389"/>
      <c r="E75" s="389"/>
      <c r="F75" s="390">
        <v>7420</v>
      </c>
      <c r="G75" s="389"/>
      <c r="H75" s="400">
        <v>23.22</v>
      </c>
      <c r="I75" s="389" t="s">
        <v>109</v>
      </c>
      <c r="J75" s="389"/>
      <c r="K75" s="389"/>
      <c r="L75" s="4"/>
      <c r="M75" s="4"/>
    </row>
    <row r="76" spans="1:13" s="8" customFormat="1" ht="14.1" customHeight="1" x14ac:dyDescent="0.2">
      <c r="A76" s="4"/>
      <c r="B76" s="389"/>
      <c r="C76" s="389"/>
      <c r="D76" s="389"/>
      <c r="E76" s="389"/>
      <c r="F76" s="390">
        <v>9150.01</v>
      </c>
      <c r="G76" s="389"/>
      <c r="H76" s="400">
        <v>25.23</v>
      </c>
      <c r="I76" s="389" t="s">
        <v>109</v>
      </c>
      <c r="J76" s="389"/>
      <c r="K76" s="389"/>
      <c r="L76" s="4"/>
      <c r="M76" s="4"/>
    </row>
    <row r="77" spans="1:13" s="8" customFormat="1" ht="14.1" customHeight="1" x14ac:dyDescent="0.2">
      <c r="A77" s="4"/>
      <c r="B77" s="389"/>
      <c r="C77" s="389"/>
      <c r="D77" s="389"/>
      <c r="E77" s="389"/>
      <c r="F77" s="390">
        <v>11305.01</v>
      </c>
      <c r="G77" s="389"/>
      <c r="H77" s="400">
        <v>30.28</v>
      </c>
      <c r="I77" s="389" t="s">
        <v>109</v>
      </c>
      <c r="J77" s="389"/>
      <c r="K77" s="389"/>
      <c r="L77" s="4"/>
      <c r="M77" s="4"/>
    </row>
    <row r="78" spans="1:13" s="8" customFormat="1" ht="14.1" customHeight="1" x14ac:dyDescent="0.2">
      <c r="A78" s="4"/>
      <c r="B78" s="389"/>
      <c r="C78" s="389"/>
      <c r="D78" s="389"/>
      <c r="E78" s="389"/>
      <c r="F78" s="390">
        <v>13405.01</v>
      </c>
      <c r="G78" s="389"/>
      <c r="H78" s="400">
        <v>35.33</v>
      </c>
      <c r="I78" s="389" t="s">
        <v>109</v>
      </c>
      <c r="J78" s="389"/>
      <c r="K78" s="389"/>
      <c r="L78" s="4"/>
      <c r="M78" s="4"/>
    </row>
    <row r="79" spans="1:13" s="8" customFormat="1" ht="14.1" customHeight="1" x14ac:dyDescent="0.2">
      <c r="A79" s="4"/>
      <c r="B79" s="389"/>
      <c r="C79" s="389"/>
      <c r="D79" s="389"/>
      <c r="E79" s="389"/>
      <c r="F79" s="390">
        <v>15625.01</v>
      </c>
      <c r="G79" s="389"/>
      <c r="H79" s="400">
        <v>38.36</v>
      </c>
      <c r="I79" s="389" t="s">
        <v>109</v>
      </c>
      <c r="J79" s="389"/>
      <c r="K79" s="389"/>
      <c r="L79" s="4"/>
      <c r="M79" s="4"/>
    </row>
    <row r="80" spans="1:13" s="8" customFormat="1" ht="14.1" customHeight="1" x14ac:dyDescent="0.2">
      <c r="A80" s="4"/>
      <c r="B80" s="389"/>
      <c r="C80" s="389"/>
      <c r="D80" s="389"/>
      <c r="E80" s="389"/>
      <c r="F80" s="390">
        <v>17840.009999999998</v>
      </c>
      <c r="G80" s="389"/>
      <c r="H80" s="400">
        <v>40.380000000000003</v>
      </c>
      <c r="I80" s="389" t="s">
        <v>109</v>
      </c>
      <c r="J80" s="389"/>
      <c r="K80" s="389"/>
      <c r="L80" s="4"/>
      <c r="M80" s="4"/>
    </row>
    <row r="81" spans="1:13" s="8" customFormat="1" ht="14.1" customHeight="1" x14ac:dyDescent="0.2">
      <c r="A81" s="4"/>
      <c r="B81" s="389"/>
      <c r="C81" s="389"/>
      <c r="D81" s="389"/>
      <c r="E81" s="389"/>
      <c r="F81" s="390">
        <v>22130.01</v>
      </c>
      <c r="G81" s="389"/>
      <c r="H81" s="400">
        <v>43.41</v>
      </c>
      <c r="I81" s="389" t="s">
        <v>109</v>
      </c>
      <c r="J81" s="389"/>
      <c r="K81" s="389"/>
      <c r="L81" s="4"/>
      <c r="M81" s="4"/>
    </row>
    <row r="82" spans="1:13" s="8" customFormat="1" ht="14.1" customHeight="1" x14ac:dyDescent="0.2">
      <c r="A82" s="4"/>
      <c r="B82" s="389"/>
      <c r="C82" s="389"/>
      <c r="D82" s="389"/>
      <c r="E82" s="389"/>
      <c r="F82" s="390">
        <v>24275.01</v>
      </c>
      <c r="G82" s="389"/>
      <c r="H82" s="400">
        <v>46.44</v>
      </c>
      <c r="I82" s="389" t="s">
        <v>109</v>
      </c>
      <c r="J82" s="389"/>
      <c r="K82" s="389"/>
      <c r="L82" s="4"/>
      <c r="M82" s="4"/>
    </row>
    <row r="83" spans="1:13" s="8" customFormat="1" ht="14.1" customHeight="1" x14ac:dyDescent="0.2">
      <c r="A83" s="4"/>
      <c r="B83" s="391"/>
      <c r="C83" s="392"/>
      <c r="D83" s="393"/>
      <c r="E83" s="393"/>
      <c r="F83" s="394">
        <v>32870.01</v>
      </c>
      <c r="G83" s="395"/>
      <c r="H83" s="394">
        <v>51.48</v>
      </c>
      <c r="I83" s="389" t="s">
        <v>109</v>
      </c>
      <c r="J83" s="396"/>
      <c r="K83" s="389"/>
      <c r="L83" s="4"/>
      <c r="M83" s="4"/>
    </row>
    <row r="84" spans="1:13" s="8" customFormat="1" ht="14.1" customHeight="1" x14ac:dyDescent="0.2">
      <c r="A84" s="4"/>
      <c r="B84" s="389"/>
      <c r="C84" s="391"/>
      <c r="D84" s="397"/>
      <c r="E84" s="397"/>
      <c r="F84" s="398">
        <v>43615.01</v>
      </c>
      <c r="G84" s="399"/>
      <c r="H84" s="398">
        <v>53.5</v>
      </c>
      <c r="I84" s="389" t="s">
        <v>109</v>
      </c>
      <c r="J84" s="399"/>
      <c r="K84" s="389"/>
      <c r="L84" s="4"/>
      <c r="M84" s="4"/>
    </row>
    <row r="85" spans="1:13" s="8" customFormat="1" ht="14.1" customHeight="1" x14ac:dyDescent="0.2">
      <c r="A85" s="4"/>
      <c r="B85" s="389"/>
      <c r="C85" s="391"/>
      <c r="D85" s="397"/>
      <c r="E85" s="397"/>
      <c r="F85" s="398">
        <v>43615.01</v>
      </c>
      <c r="G85" s="399"/>
      <c r="H85" s="398">
        <v>53.5</v>
      </c>
      <c r="I85" s="389" t="s">
        <v>109</v>
      </c>
      <c r="J85" s="399"/>
      <c r="K85" s="389"/>
      <c r="L85" s="4"/>
      <c r="M85" s="4"/>
    </row>
    <row r="86" spans="1:13" s="8" customFormat="1" ht="14.1" customHeight="1" x14ac:dyDescent="0.2">
      <c r="A86" s="4"/>
      <c r="B86" s="4"/>
      <c r="C86" s="21"/>
      <c r="D86" s="207"/>
      <c r="E86" s="32"/>
      <c r="F86" s="208"/>
      <c r="G86" s="208"/>
      <c r="H86" s="208"/>
      <c r="I86" s="208"/>
      <c r="J86" s="229"/>
      <c r="K86" s="4"/>
      <c r="L86" s="4"/>
      <c r="M86" s="4"/>
    </row>
    <row r="87" spans="1:13" s="8" customFormat="1" ht="14.1" customHeight="1" x14ac:dyDescent="0.2">
      <c r="A87" s="4"/>
      <c r="B87" s="4"/>
      <c r="C87" s="21"/>
      <c r="D87" s="207"/>
      <c r="E87" s="32"/>
      <c r="F87" s="208"/>
      <c r="G87" s="208"/>
      <c r="H87" s="208"/>
      <c r="I87" s="208"/>
      <c r="J87" s="229"/>
      <c r="K87" s="4"/>
      <c r="L87" s="4"/>
      <c r="M87" s="4"/>
    </row>
    <row r="88" spans="1:13" s="8" customFormat="1" ht="14.1" customHeight="1" x14ac:dyDescent="0.2">
      <c r="A88" s="4"/>
      <c r="B88" s="4"/>
      <c r="C88" s="21"/>
      <c r="D88" s="207"/>
      <c r="E88" s="32"/>
      <c r="F88" s="208"/>
      <c r="G88" s="208"/>
      <c r="H88" s="209"/>
      <c r="I88" s="209"/>
      <c r="J88" s="210"/>
      <c r="K88" s="4"/>
      <c r="L88" s="4"/>
      <c r="M88" s="4"/>
    </row>
    <row r="89" spans="1:13" s="8" customFormat="1" ht="14.1" customHeight="1" x14ac:dyDescent="0.2">
      <c r="A89" s="4"/>
      <c r="B89" s="4"/>
      <c r="C89" s="21"/>
      <c r="D89" s="207"/>
      <c r="E89" s="32"/>
      <c r="F89" s="208"/>
      <c r="G89" s="208"/>
      <c r="H89" s="209"/>
      <c r="I89" s="209"/>
      <c r="J89" s="210"/>
      <c r="K89" s="4"/>
      <c r="L89" s="4"/>
      <c r="M89" s="4"/>
    </row>
    <row r="90" spans="1:13" s="8" customFormat="1" ht="14.1" customHeight="1" x14ac:dyDescent="0.2">
      <c r="A90" s="4"/>
      <c r="B90" s="4"/>
      <c r="C90" s="21"/>
      <c r="D90" s="207"/>
      <c r="E90" s="32"/>
      <c r="F90" s="208"/>
      <c r="G90" s="208"/>
      <c r="H90" s="209"/>
      <c r="I90" s="209"/>
      <c r="J90" s="210"/>
      <c r="K90" s="4"/>
      <c r="L90" s="4"/>
      <c r="M90" s="4"/>
    </row>
    <row r="91" spans="1:13" s="8" customFormat="1" ht="14.1" customHeight="1" x14ac:dyDescent="0.2">
      <c r="A91" s="4"/>
      <c r="B91" s="4"/>
      <c r="C91" s="21"/>
      <c r="D91" s="207"/>
      <c r="E91" s="32"/>
      <c r="F91" s="208"/>
      <c r="G91" s="208"/>
      <c r="H91" s="209"/>
      <c r="I91" s="209"/>
      <c r="J91" s="210"/>
      <c r="K91" s="4"/>
      <c r="L91" s="4"/>
      <c r="M91" s="4"/>
    </row>
    <row r="92" spans="1:13" s="8" customFormat="1" ht="14.1" customHeight="1" x14ac:dyDescent="0.2">
      <c r="A92" s="4"/>
      <c r="B92" s="4"/>
      <c r="C92" s="21"/>
      <c r="D92" s="207"/>
      <c r="E92" s="32"/>
      <c r="F92" s="208"/>
      <c r="G92" s="208"/>
      <c r="H92" s="209"/>
      <c r="I92" s="209"/>
      <c r="J92" s="210"/>
      <c r="K92" s="4"/>
      <c r="L92" s="4"/>
      <c r="M92" s="4"/>
    </row>
    <row r="93" spans="1:13" s="8" customFormat="1" ht="14.1" customHeight="1" x14ac:dyDescent="0.2">
      <c r="A93" s="4"/>
      <c r="B93" s="4"/>
      <c r="C93" s="21"/>
      <c r="D93" s="207"/>
      <c r="E93" s="32"/>
      <c r="F93" s="208"/>
      <c r="G93" s="208"/>
      <c r="H93" s="209"/>
      <c r="I93" s="209"/>
      <c r="J93" s="210"/>
      <c r="K93" s="4"/>
      <c r="L93" s="4"/>
      <c r="M93" s="4"/>
    </row>
    <row r="94" spans="1:13" s="8" customFormat="1" ht="14.1" customHeight="1" x14ac:dyDescent="0.2">
      <c r="A94" s="4"/>
      <c r="B94" s="4"/>
      <c r="C94" s="21"/>
      <c r="D94" s="207"/>
      <c r="E94" s="32"/>
      <c r="F94" s="208"/>
      <c r="G94" s="208"/>
      <c r="H94" s="209"/>
      <c r="I94" s="209"/>
      <c r="J94" s="210"/>
      <c r="K94" s="4"/>
      <c r="L94" s="4"/>
      <c r="M94" s="4"/>
    </row>
    <row r="95" spans="1:13" s="8" customFormat="1" ht="14.1" customHeight="1" x14ac:dyDescent="0.2">
      <c r="A95" s="4"/>
      <c r="B95" s="4"/>
      <c r="C95" s="21"/>
      <c r="D95" s="207"/>
      <c r="E95" s="32"/>
      <c r="F95" s="208"/>
      <c r="G95" s="208"/>
      <c r="H95" s="209"/>
      <c r="I95" s="209"/>
      <c r="J95" s="210"/>
      <c r="K95" s="4"/>
      <c r="L95" s="4"/>
      <c r="M95" s="4"/>
    </row>
  </sheetData>
  <sheetProtection algorithmName="SHA-512" hashValue="+UqI6K4dtup+nOTm+5sfuuizulRP+OxKsiucuwVePMURN1BEVIkocLGtsE2MfNbaOqZpnQbJmDku+raZgZmntQ==" saltValue="gDA3X3xwHeYrZ5oaae6TYw==" spinCount="100000" sheet="1" objects="1" scenarios="1"/>
  <protectedRanges>
    <protectedRange sqref="T13" name="Bereik1"/>
  </protectedRanges>
  <phoneticPr fontId="0" type="noConversion"/>
  <hyperlinks>
    <hyperlink ref="P29" r:id="rId1" xr:uid="{BBD3AE58-57AF-48E5-B670-8A74979B7A40}"/>
  </hyperlinks>
  <pageMargins left="0.39370078740157483" right="0.39370078740157483" top="0.39370078740157483" bottom="0.39370078740157483" header="0.51181102362204722" footer="0.51181102362204722"/>
  <pageSetup paperSize="9" scale="79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BC59"/>
  <sheetViews>
    <sheetView showGridLines="0" showRowColHeaders="0" topLeftCell="B1" zoomScaleNormal="100" workbookViewId="0">
      <pane ySplit="6" topLeftCell="A7" activePane="bottomLeft" state="frozen"/>
      <selection pane="bottomLeft" activeCell="F9" sqref="F9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3" customWidth="1"/>
    <col min="4" max="4" width="2.7109375" style="28" customWidth="1"/>
    <col min="5" max="5" width="3.2851562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5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6" width="5.7109375" style="5" customWidth="1"/>
    <col min="27" max="27" width="5.85546875" style="5" bestFit="1" customWidth="1"/>
    <col min="28" max="28" width="13.7109375" style="2" hidden="1" customWidth="1"/>
    <col min="29" max="29" width="4.85546875" style="2" hidden="1" customWidth="1"/>
    <col min="30" max="30" width="12" style="2" hidden="1" customWidth="1"/>
    <col min="31" max="31" width="5.28515625" style="2" hidden="1" customWidth="1"/>
    <col min="32" max="32" width="9" style="2" hidden="1" customWidth="1"/>
    <col min="33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10.42578125" style="2" hidden="1" customWidth="1"/>
    <col min="41" max="41" width="4.85546875" style="2" hidden="1" customWidth="1"/>
    <col min="42" max="42" width="8.5703125" style="2" hidden="1" customWidth="1"/>
    <col min="43" max="44" width="12" style="2" hidden="1" customWidth="1"/>
    <col min="45" max="46" width="10.42578125" style="2" hidden="1" customWidth="1"/>
    <col min="47" max="47" width="4.28515625" style="2" hidden="1" customWidth="1"/>
    <col min="48" max="48" width="7.7109375" style="39" hidden="1" customWidth="1"/>
    <col min="49" max="49" width="6.42578125" style="39" hidden="1" customWidth="1"/>
    <col min="50" max="50" width="6" style="2" hidden="1" customWidth="1"/>
    <col min="51" max="51" width="3" style="2" hidden="1" customWidth="1"/>
    <col min="52" max="52" width="5.28515625" style="4" hidden="1" customWidth="1"/>
    <col min="53" max="53" width="6.42578125" style="4" hidden="1" customWidth="1"/>
    <col min="54" max="54" width="51.85546875" style="146" customWidth="1"/>
    <col min="55" max="55" width="0" hidden="1" customWidth="1"/>
  </cols>
  <sheetData>
    <row r="1" spans="2:55" x14ac:dyDescent="0.2">
      <c r="C1" s="307"/>
      <c r="H1" s="247"/>
      <c r="N1" s="4"/>
      <c r="X1" s="178"/>
      <c r="Y1" s="179"/>
      <c r="Z1" s="179" t="s">
        <v>110</v>
      </c>
      <c r="AA1" s="180"/>
      <c r="AD1" s="96">
        <v>0.29166666666666669</v>
      </c>
      <c r="AQ1" s="39" t="s">
        <v>111</v>
      </c>
      <c r="AR1" s="39" t="s">
        <v>112</v>
      </c>
      <c r="AS1" s="39" t="s">
        <v>113</v>
      </c>
      <c r="AT1" s="39" t="s">
        <v>114</v>
      </c>
      <c r="BB1" s="4"/>
      <c r="BC1" s="2"/>
    </row>
    <row r="2" spans="2:55" x14ac:dyDescent="0.2">
      <c r="C2" s="246"/>
      <c r="M2" s="136"/>
      <c r="N2" s="137"/>
      <c r="O2" s="137"/>
      <c r="P2" s="137"/>
      <c r="Q2" s="137"/>
      <c r="R2" s="137"/>
      <c r="S2" s="137"/>
      <c r="T2" s="137"/>
      <c r="U2" s="138"/>
      <c r="V2" s="139"/>
      <c r="X2" s="181" t="s">
        <v>115</v>
      </c>
      <c r="Y2" s="182"/>
      <c r="Z2" s="182" t="s">
        <v>116</v>
      </c>
      <c r="AA2" s="183"/>
      <c r="AC2" s="112"/>
      <c r="AD2" s="96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BB2" s="4"/>
      <c r="BC2" s="2"/>
    </row>
    <row r="3" spans="2:55" x14ac:dyDescent="0.2">
      <c r="C3" s="80"/>
      <c r="M3" s="140"/>
      <c r="N3" s="141"/>
      <c r="O3" s="141"/>
      <c r="P3" s="141"/>
      <c r="Q3" s="141"/>
      <c r="R3" s="141"/>
      <c r="S3" s="141"/>
      <c r="T3" s="141"/>
      <c r="U3" s="142"/>
      <c r="V3" s="143"/>
      <c r="X3" s="253" t="s">
        <v>117</v>
      </c>
      <c r="Y3" s="184"/>
      <c r="Z3" s="253"/>
      <c r="AA3" s="185"/>
      <c r="AD3" s="96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X3" s="113">
        <v>0</v>
      </c>
      <c r="BB3" s="4"/>
      <c r="BC3" s="2"/>
    </row>
    <row r="4" spans="2:55" x14ac:dyDescent="0.2">
      <c r="B4" s="277" t="s">
        <v>694</v>
      </c>
      <c r="C4" s="465" t="str">
        <f>Données!F6</f>
        <v>Memento 2022</v>
      </c>
      <c r="G4" s="4" t="s">
        <v>118</v>
      </c>
      <c r="I4" s="4"/>
      <c r="J4" s="4"/>
      <c r="K4" s="4"/>
      <c r="L4" s="4"/>
      <c r="M4" s="386">
        <f>Données!$I$23</f>
        <v>0</v>
      </c>
      <c r="O4" s="2"/>
      <c r="P4" s="4" t="s">
        <v>119</v>
      </c>
      <c r="Q4" s="4"/>
      <c r="R4" s="4"/>
      <c r="S4" s="4"/>
      <c r="T4" s="4"/>
      <c r="U4" s="199">
        <f>Données!$I$22</f>
        <v>0</v>
      </c>
      <c r="AV4" s="84"/>
      <c r="AW4" s="84" t="s">
        <v>120</v>
      </c>
      <c r="AX4" s="233" t="s">
        <v>121</v>
      </c>
      <c r="AY4" s="252"/>
      <c r="BB4" s="4"/>
      <c r="BC4" s="2"/>
    </row>
    <row r="5" spans="2:55" ht="12.75" customHeight="1" x14ac:dyDescent="0.2">
      <c r="B5" s="81"/>
      <c r="C5" s="82"/>
      <c r="D5" s="83" t="s">
        <v>122</v>
      </c>
      <c r="E5" s="83" t="s">
        <v>123</v>
      </c>
      <c r="F5" s="90" t="s">
        <v>124</v>
      </c>
      <c r="G5" s="91"/>
      <c r="H5" s="90" t="s">
        <v>124</v>
      </c>
      <c r="I5" s="91"/>
      <c r="J5" s="90" t="s">
        <v>124</v>
      </c>
      <c r="K5" s="91"/>
      <c r="L5" s="90" t="s">
        <v>125</v>
      </c>
      <c r="M5" s="91"/>
      <c r="N5" s="84" t="s">
        <v>126</v>
      </c>
      <c r="O5" s="93" t="s">
        <v>127</v>
      </c>
      <c r="P5" s="92"/>
      <c r="Q5" s="90" t="s">
        <v>128</v>
      </c>
      <c r="R5" s="134"/>
      <c r="S5" s="134"/>
      <c r="T5" s="91"/>
      <c r="U5" s="84" t="s">
        <v>129</v>
      </c>
      <c r="V5" s="84" t="s">
        <v>130</v>
      </c>
      <c r="W5" s="84" t="s">
        <v>129</v>
      </c>
      <c r="X5" s="84" t="s">
        <v>129</v>
      </c>
      <c r="Y5" s="300"/>
      <c r="Z5" s="84" t="s">
        <v>131</v>
      </c>
      <c r="AA5" s="301" t="s">
        <v>132</v>
      </c>
      <c r="AB5" s="8" t="s">
        <v>133</v>
      </c>
      <c r="AC5" s="8" t="s">
        <v>134</v>
      </c>
      <c r="AD5" s="8" t="s">
        <v>135</v>
      </c>
      <c r="AE5" s="8" t="s">
        <v>136</v>
      </c>
      <c r="AF5" s="8" t="s">
        <v>137</v>
      </c>
      <c r="AG5" s="8" t="s">
        <v>137</v>
      </c>
      <c r="AH5" s="8" t="s">
        <v>138</v>
      </c>
      <c r="AI5" s="8" t="s">
        <v>139</v>
      </c>
      <c r="AO5" s="4"/>
      <c r="AT5" s="4" t="s">
        <v>140</v>
      </c>
      <c r="AU5" s="4"/>
      <c r="AV5" s="231" t="s">
        <v>141</v>
      </c>
      <c r="AW5" s="231" t="s">
        <v>142</v>
      </c>
      <c r="AX5" s="231" t="s">
        <v>126</v>
      </c>
      <c r="AY5" s="250"/>
      <c r="BB5" s="4"/>
      <c r="BC5" s="2"/>
    </row>
    <row r="6" spans="2:55" s="56" customFormat="1" x14ac:dyDescent="0.2">
      <c r="B6" s="85" t="s">
        <v>143</v>
      </c>
      <c r="C6" s="86" t="s">
        <v>144</v>
      </c>
      <c r="D6" s="87" t="s">
        <v>44</v>
      </c>
      <c r="E6" s="87" t="s">
        <v>145</v>
      </c>
      <c r="F6" s="86" t="s">
        <v>44</v>
      </c>
      <c r="G6" s="86" t="s">
        <v>45</v>
      </c>
      <c r="H6" s="86" t="s">
        <v>44</v>
      </c>
      <c r="I6" s="86" t="s">
        <v>45</v>
      </c>
      <c r="J6" s="86" t="s">
        <v>44</v>
      </c>
      <c r="K6" s="86" t="s">
        <v>45</v>
      </c>
      <c r="L6" s="86" t="s">
        <v>146</v>
      </c>
      <c r="M6" s="86" t="s">
        <v>147</v>
      </c>
      <c r="N6" s="86" t="s">
        <v>148</v>
      </c>
      <c r="O6" s="94" t="s">
        <v>149</v>
      </c>
      <c r="P6" s="95"/>
      <c r="Q6" s="357" t="s">
        <v>150</v>
      </c>
      <c r="R6" s="357" t="s">
        <v>151</v>
      </c>
      <c r="S6" s="357" t="s">
        <v>152</v>
      </c>
      <c r="T6" s="357" t="s">
        <v>153</v>
      </c>
      <c r="U6" s="176" t="s">
        <v>154</v>
      </c>
      <c r="V6" s="86" t="s">
        <v>155</v>
      </c>
      <c r="W6" s="86" t="s">
        <v>156</v>
      </c>
      <c r="X6" s="195" t="s">
        <v>157</v>
      </c>
      <c r="Y6" s="88" t="s">
        <v>131</v>
      </c>
      <c r="Z6" s="86" t="s">
        <v>158</v>
      </c>
      <c r="AA6" s="302" t="s">
        <v>159</v>
      </c>
      <c r="AB6" s="9" t="s">
        <v>160</v>
      </c>
      <c r="AC6" s="9" t="s">
        <v>160</v>
      </c>
      <c r="AD6" s="9" t="s">
        <v>137</v>
      </c>
      <c r="AE6" s="9" t="s">
        <v>161</v>
      </c>
      <c r="AF6" s="9" t="s">
        <v>156</v>
      </c>
      <c r="AG6" s="278" t="s">
        <v>157</v>
      </c>
      <c r="AH6" s="8" t="s">
        <v>137</v>
      </c>
      <c r="AI6" s="8" t="s">
        <v>162</v>
      </c>
      <c r="AJ6" s="56" t="s">
        <v>163</v>
      </c>
      <c r="AK6" s="11" t="s">
        <v>164</v>
      </c>
      <c r="AL6" s="101" t="s">
        <v>165</v>
      </c>
      <c r="AM6" s="10" t="s">
        <v>166</v>
      </c>
      <c r="AN6" s="10" t="s">
        <v>167</v>
      </c>
      <c r="AO6" s="10"/>
      <c r="AP6" s="11" t="s">
        <v>168</v>
      </c>
      <c r="AQ6" s="11" t="s">
        <v>169</v>
      </c>
      <c r="AR6" s="11" t="s">
        <v>170</v>
      </c>
      <c r="AS6" s="11" t="s">
        <v>171</v>
      </c>
      <c r="AT6" s="10" t="s">
        <v>166</v>
      </c>
      <c r="AU6" s="10" t="s">
        <v>172</v>
      </c>
      <c r="AV6" s="232" t="s">
        <v>173</v>
      </c>
      <c r="AW6" s="232" t="s">
        <v>174</v>
      </c>
      <c r="AX6" s="86" t="s">
        <v>148</v>
      </c>
      <c r="AY6" s="251"/>
      <c r="AZ6" s="11"/>
      <c r="BA6" s="11"/>
      <c r="BB6" s="11" t="s">
        <v>175</v>
      </c>
    </row>
    <row r="7" spans="2:55" x14ac:dyDescent="0.2">
      <c r="B7" s="403" t="s">
        <v>184</v>
      </c>
      <c r="C7" s="412" t="s">
        <v>177</v>
      </c>
      <c r="D7" s="411"/>
      <c r="E7" s="411"/>
      <c r="F7" s="401"/>
      <c r="G7" s="401"/>
      <c r="H7" s="401"/>
      <c r="I7" s="401"/>
      <c r="J7" s="401"/>
      <c r="K7" s="401"/>
      <c r="L7" s="402">
        <f>(G7-F7)+(I7-H7)+(K7-J7)</f>
        <v>0</v>
      </c>
      <c r="M7" s="402">
        <f>L7+M4</f>
        <v>0</v>
      </c>
      <c r="N7" s="402">
        <f>AV7</f>
        <v>0</v>
      </c>
      <c r="O7" s="419" t="str">
        <f>IF((M7-N7-U$4)&lt;0,"-","+")</f>
        <v>+</v>
      </c>
      <c r="P7" s="413">
        <f>ABS(M7-N7-$U$4)</f>
        <v>0</v>
      </c>
      <c r="Q7" s="410">
        <f>AQ7</f>
        <v>0</v>
      </c>
      <c r="R7" s="410">
        <f>AR7</f>
        <v>0</v>
      </c>
      <c r="S7" s="410">
        <f>AS7</f>
        <v>0</v>
      </c>
      <c r="T7" s="410">
        <f>AP7</f>
        <v>0</v>
      </c>
      <c r="U7" s="402">
        <f>IF($Z$3="x",AD7,)</f>
        <v>0</v>
      </c>
      <c r="V7" s="402">
        <f>L7</f>
        <v>0</v>
      </c>
      <c r="W7" s="402">
        <f>IF($X$3="x",AF7,)</f>
        <v>0</v>
      </c>
      <c r="X7" s="402">
        <f>IF($X$3="x",AG7,)</f>
        <v>0</v>
      </c>
      <c r="Y7" s="401"/>
      <c r="Z7" s="401"/>
      <c r="AA7" s="411"/>
      <c r="AB7" s="420">
        <f>IF((G7&gt;$AD$3)*AND(F7&lt;=$AD$3),G7-$AD$3,)+IF(F7&gt;$AD$3,G7-F7,)+IF((I7&gt;$AD$3)*AND(H7&lt;=$AD$3),I7-$AD$3,)+IF((H7&gt;$AD$3),I7-H7,)+IF((K7&gt;$AD$3)*AND(J7&lt;=$AD$3),K7-$AD$3,)+IF((J7&gt;$AD$3),K7-J7,)</f>
        <v>0</v>
      </c>
      <c r="AC7" s="420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20">
        <f>AB7+AC7</f>
        <v>0</v>
      </c>
      <c r="AE7" s="420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21">
        <f>AB7-AE7</f>
        <v>0</v>
      </c>
      <c r="AG7" s="420">
        <f>AI7+AE7</f>
        <v>0</v>
      </c>
      <c r="AH7" s="421">
        <f>AD7</f>
        <v>0</v>
      </c>
      <c r="AI7" s="420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22">
        <f>IF((D7&lt;&gt;""),VLOOKUP(D7,Données!$E$36:$H$59,4,FALSE),)</f>
        <v>0</v>
      </c>
      <c r="AK7" s="422">
        <f t="shared" ref="AK7:AK35" si="0">IF(V7&gt;0,L7,0)</f>
        <v>0</v>
      </c>
      <c r="AL7" s="423">
        <f>IF(L7&gt;0,D7,0)</f>
        <v>0</v>
      </c>
      <c r="AM7" s="424">
        <f t="shared" ref="AM7:AM37" si="1">IF((E7="X")*OR(E7="x"),1,0)</f>
        <v>0</v>
      </c>
      <c r="AN7" s="425">
        <f>IF(D7="F",1,)+IF((D7="JP")*AND(((G7-F7)+(I7-H7)+(K7-J7))&gt;0),1,0)</f>
        <v>0</v>
      </c>
      <c r="AO7" s="422">
        <f>IF((D7="JP")*AND(((G7-F7)+(I7-H7)+(K7-J7))=0),"07:36",0)</f>
        <v>0</v>
      </c>
      <c r="AP7" s="426">
        <f t="shared" ref="AP7:AP37" si="2">IF((F7&lt;=$AQ$2)*AND(G7&gt;=$AQ$3),1,)+IF((H7&lt;=$AQ$2)*AND(I7&gt;=$AQ$3),1,)+IF((J7&lt;=$AQ$2)*AND(K7&gt;=$AQ$3),1,)</f>
        <v>0</v>
      </c>
      <c r="AQ7" s="426">
        <f t="shared" ref="AQ7:AQ37" si="3">IF((F7&lt;=$AR$2)*AND(G7&gt;=$AR$3),1,)+IF((H7&lt;=$AR$2)*AND(I7&gt;=$AR$3),1,)+IF((J7&lt;=$AR$2)*AND(K7&gt;=$AR$3),1,)</f>
        <v>0</v>
      </c>
      <c r="AR7" s="426">
        <f t="shared" ref="AR7:AR37" si="4">IF((F7&lt;=$AS$2)*AND(G7&gt;=$AS$3),1,)+IF((H7&lt;=$AS$2)*AND(I7&gt;=$AS$3),1,)+IF((J7&lt;=$AS$2)*AND(K7&gt;=$AS$3),1,)</f>
        <v>0</v>
      </c>
      <c r="AS7" s="426">
        <f t="shared" ref="AS7:AS37" si="5">IF((F7=$AT$2)*AND(G7&gt;=$AT$3),1,)+IF((H7=$AT$2)*AND(I7&gt;=$AT$3),1,)+IF((J7=$AT$2)*AND(K7&gt;=$AT$3),1,)</f>
        <v>0</v>
      </c>
      <c r="AT7" s="424">
        <f>IF((E7="me")*OR(E7="ME"),1,0)</f>
        <v>0</v>
      </c>
      <c r="AU7" s="424">
        <f>IF((E7="M")*OR(E7="m"),1,0)</f>
        <v>0</v>
      </c>
      <c r="AV7" s="401">
        <f>IF(Données!$H$8="x",AW7,AX7)</f>
        <v>0</v>
      </c>
      <c r="AW7" s="401">
        <f t="shared" ref="AW7:AW37" si="6">AX7/2</f>
        <v>0</v>
      </c>
      <c r="AX7" s="402">
        <f>AX3</f>
        <v>0</v>
      </c>
      <c r="AY7" s="403" t="str">
        <f>B7</f>
        <v>Sa</v>
      </c>
      <c r="AZ7" s="7">
        <f>IF((S40="HAU1")*AND(S41&lt;&gt;""),VLOOKUP(S41,Échelle!$Q$5:$R$31,2),)</f>
        <v>0</v>
      </c>
      <c r="BA7" s="4" t="s">
        <v>0</v>
      </c>
      <c r="BB7" s="148"/>
      <c r="BC7" s="2"/>
    </row>
    <row r="8" spans="2:55" x14ac:dyDescent="0.2">
      <c r="B8" s="403" t="s">
        <v>186</v>
      </c>
      <c r="C8" s="412" t="s">
        <v>179</v>
      </c>
      <c r="D8" s="411"/>
      <c r="E8" s="411"/>
      <c r="F8" s="401"/>
      <c r="G8" s="401"/>
      <c r="H8" s="401"/>
      <c r="I8" s="401"/>
      <c r="J8" s="401"/>
      <c r="K8" s="401"/>
      <c r="L8" s="402">
        <f>(G8-F8)+(I8-H8)+(K8-J8)</f>
        <v>0</v>
      </c>
      <c r="M8" s="402">
        <f>M7+L8</f>
        <v>0</v>
      </c>
      <c r="N8" s="402">
        <f t="shared" ref="N8:N37" si="7">AV8</f>
        <v>0</v>
      </c>
      <c r="O8" s="419" t="str">
        <f t="shared" ref="O8:O37" si="8">IF((M8-N8-U$4)&lt;0,"-","+")</f>
        <v>+</v>
      </c>
      <c r="P8" s="413">
        <f t="shared" ref="P8:P37" si="9">ABS(M8-N8-$U$4)</f>
        <v>0</v>
      </c>
      <c r="Q8" s="410">
        <f t="shared" ref="Q8:Q37" si="10">AQ8</f>
        <v>0</v>
      </c>
      <c r="R8" s="410">
        <f t="shared" ref="R8:R37" si="11">AR8</f>
        <v>0</v>
      </c>
      <c r="S8" s="410">
        <f t="shared" ref="S8:S37" si="12">AS8</f>
        <v>0</v>
      </c>
      <c r="T8" s="410">
        <f t="shared" ref="T8:T37" si="13">AP8</f>
        <v>0</v>
      </c>
      <c r="U8" s="402">
        <f t="shared" ref="U8:U37" si="14">IF($Z$3="x",AD8,)</f>
        <v>0</v>
      </c>
      <c r="V8" s="402">
        <f>L8</f>
        <v>0</v>
      </c>
      <c r="W8" s="402">
        <f t="shared" ref="W8:W37" si="15">IF($X$3="x",AF8,)</f>
        <v>0</v>
      </c>
      <c r="X8" s="402">
        <f t="shared" ref="X8:X37" si="16">IF($X$3="x",AG8,)</f>
        <v>0</v>
      </c>
      <c r="Y8" s="401"/>
      <c r="Z8" s="401"/>
      <c r="AA8" s="411"/>
      <c r="AB8" s="420">
        <f>IF((G8&gt;$AD$3)*AND(F8&lt;=$AD$3),G8-$AD$3,)+IF(F8&gt;$AD$3,G8-F8,)+IF((I8&gt;$AD$3)*AND(H8&lt;=$AD$3),I8-$AD$3,)+IF((H8&gt;$AD$3),I8-H8,)+IF((K8&gt;$AD$3)*AND(J8&lt;=$AD$3),K8-$AD$3,)+IF((J8&gt;$AD$3),K8-J8,)</f>
        <v>0</v>
      </c>
      <c r="AC8" s="420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20">
        <f>AB8+AC8</f>
        <v>0</v>
      </c>
      <c r="AE8" s="420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21">
        <f>AB8-AE8</f>
        <v>0</v>
      </c>
      <c r="AG8" s="420">
        <f>AI8+AE8</f>
        <v>0</v>
      </c>
      <c r="AH8" s="421">
        <f>AD8</f>
        <v>0</v>
      </c>
      <c r="AI8" s="420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22">
        <f>IF((D8&lt;&gt;""),VLOOKUP(D8,Données!$E$36:$H$59,4,FALSE),)</f>
        <v>0</v>
      </c>
      <c r="AK8" s="422">
        <f t="shared" si="0"/>
        <v>0</v>
      </c>
      <c r="AL8" s="423">
        <f t="shared" ref="AL8:AL37" si="17">IF(L8&gt;0,D8,0)</f>
        <v>0</v>
      </c>
      <c r="AM8" s="424">
        <f t="shared" si="1"/>
        <v>0</v>
      </c>
      <c r="AN8" s="425">
        <f t="shared" ref="AN8:AN37" si="18">IF(D8="F",1,)+IF((D8="JP")*AND(((G8-F8)+(I8-H8)+(K8-J8))&gt;0),1,0)</f>
        <v>0</v>
      </c>
      <c r="AO8" s="422">
        <f t="shared" ref="AO8:AO37" si="19">IF((D8="JP")*AND(((G8-F8)+(I8-H8)+(K8-J8))=0),"07:36",0)</f>
        <v>0</v>
      </c>
      <c r="AP8" s="426">
        <f t="shared" si="2"/>
        <v>0</v>
      </c>
      <c r="AQ8" s="426">
        <f t="shared" si="3"/>
        <v>0</v>
      </c>
      <c r="AR8" s="426">
        <f t="shared" si="4"/>
        <v>0</v>
      </c>
      <c r="AS8" s="426">
        <f t="shared" si="5"/>
        <v>0</v>
      </c>
      <c r="AT8" s="424">
        <f t="shared" ref="AT8:AT37" si="20">IF((E8="me")*OR(E8="ME"),1,0)</f>
        <v>0</v>
      </c>
      <c r="AU8" s="424">
        <f t="shared" ref="AU8:AU37" si="21">IF((E8="M")*OR(E8="m"),1,0)</f>
        <v>0</v>
      </c>
      <c r="AV8" s="401">
        <f>IF(Données!$H$8="x",AW8,AX8)</f>
        <v>0</v>
      </c>
      <c r="AW8" s="401">
        <f t="shared" si="6"/>
        <v>0</v>
      </c>
      <c r="AX8" s="402">
        <f>AX7</f>
        <v>0</v>
      </c>
      <c r="AY8" s="403" t="str">
        <f t="shared" ref="AY8:AY37" si="22">B8</f>
        <v>Di</v>
      </c>
      <c r="AZ8" s="7">
        <f>IF((S40="HAU2")*AND(S41&lt;&gt;""),VLOOKUP(S41,Échelle!$T$5:$U$31,2),)</f>
        <v>0</v>
      </c>
      <c r="BA8" s="4" t="s">
        <v>1</v>
      </c>
      <c r="BB8" s="148"/>
      <c r="BC8" s="2"/>
    </row>
    <row r="9" spans="2:55" x14ac:dyDescent="0.2">
      <c r="B9" s="467" t="s">
        <v>188</v>
      </c>
      <c r="C9" s="468" t="s">
        <v>181</v>
      </c>
      <c r="D9" s="469"/>
      <c r="E9" s="469"/>
      <c r="F9" s="470"/>
      <c r="G9" s="470"/>
      <c r="H9" s="470"/>
      <c r="I9" s="470"/>
      <c r="J9" s="470"/>
      <c r="K9" s="470"/>
      <c r="L9" s="471">
        <f>(G9-F9)+(I9-H9)+(K9-J9)+AJ9+AO10</f>
        <v>0</v>
      </c>
      <c r="M9" s="471">
        <f t="shared" ref="M9:M14" si="23">M8+L9</f>
        <v>0</v>
      </c>
      <c r="N9" s="471">
        <f t="shared" si="7"/>
        <v>0.31666666666666665</v>
      </c>
      <c r="O9" s="472" t="str">
        <f t="shared" si="8"/>
        <v>-</v>
      </c>
      <c r="P9" s="473">
        <f t="shared" si="9"/>
        <v>0.31666666666666665</v>
      </c>
      <c r="Q9" s="474">
        <f t="shared" si="10"/>
        <v>0</v>
      </c>
      <c r="R9" s="474">
        <f t="shared" si="11"/>
        <v>0</v>
      </c>
      <c r="S9" s="474">
        <f t="shared" si="12"/>
        <v>0</v>
      </c>
      <c r="T9" s="474">
        <f t="shared" si="13"/>
        <v>0</v>
      </c>
      <c r="U9" s="471">
        <f t="shared" si="14"/>
        <v>0</v>
      </c>
      <c r="V9" s="471">
        <f>IF(D9="F",L9,0)</f>
        <v>0</v>
      </c>
      <c r="W9" s="471">
        <f t="shared" si="15"/>
        <v>0</v>
      </c>
      <c r="X9" s="471">
        <f t="shared" si="16"/>
        <v>0</v>
      </c>
      <c r="Y9" s="470"/>
      <c r="Z9" s="470"/>
      <c r="AA9" s="469"/>
      <c r="AB9" s="475">
        <f t="shared" ref="AB9:AB37" si="24">IF((G9&gt;$AD$3)*AND(F9&lt;=$AD$3),G9-$AD$3,)+IF(F9&gt;$AD$3,G9-F9,)+IF((I9&gt;$AD$3)*AND(H9&lt;=$AD$3),I9-$AD$3,)+IF((H9&gt;$AD$3),I9-H9,)+IF((K9&gt;$AD$3)*AND(J9&lt;=$AD$3),K9-$AD$3,)+IF((J9&gt;$AD$3),K9-J9,)</f>
        <v>0</v>
      </c>
      <c r="AC9" s="475">
        <f t="shared" ref="AC9:AC37" si="25">IF((G9&gt;=$AD$1)*AND(F9&lt;$AD$1),($AD$1)-F9,)+IF((G9&lt;$AD$1),G9-F9,)+IF((I9&gt;=$AD$1)*AND(H9&lt;$AD$1),($AD$1)-H9,)+IF((I9&lt;$AD$1),I9-H9,)+IF((K9&gt;=$AD$1)*AND(J9&lt;$AD$1),($AD$1)-J9,)+IF((K9&lt;$AD$1),K9-J9,)</f>
        <v>0</v>
      </c>
      <c r="AD9" s="475">
        <f t="shared" ref="AD9:AD37" si="26">AB9+AC9</f>
        <v>0</v>
      </c>
      <c r="AE9" s="475">
        <f t="shared" ref="AE9:AE37" si="27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76">
        <f t="shared" ref="AF9:AF37" si="28">AB9-AE9</f>
        <v>0</v>
      </c>
      <c r="AG9" s="475">
        <f t="shared" ref="AG9:AG37" si="29">AI9+AE9</f>
        <v>0</v>
      </c>
      <c r="AH9" s="476">
        <f t="shared" ref="AH9:AH37" si="30">AD9</f>
        <v>0</v>
      </c>
      <c r="AI9" s="475">
        <f t="shared" ref="AI9:AI37" si="31">IF((G9&gt;=$AD$2)*AND(F9&lt;$AD$2),($AD$2)-F9,)+IF((G9&lt;$AD$2),G9-F9,)+IF((I9&gt;=$AD$2)*AND(H9&lt;$AD$2),($AD$2)-H9,)+IF((I9&lt;$AD$2),I9-H9,)+IF((K9&gt;=$AD$2)*AND(J9&lt;$AD$2),($AD$2)-J9,)+IF((K9&lt;$AD$2),K9-J9,)</f>
        <v>0</v>
      </c>
      <c r="AJ9" s="477">
        <f>IF((D9&lt;&gt;""),VLOOKUP(D9,Données!$E$36:$H$59,4,FALSE),)</f>
        <v>0</v>
      </c>
      <c r="AK9" s="477">
        <f t="shared" si="0"/>
        <v>0</v>
      </c>
      <c r="AL9" s="478">
        <f t="shared" si="17"/>
        <v>0</v>
      </c>
      <c r="AM9" s="479">
        <f t="shared" si="1"/>
        <v>0</v>
      </c>
      <c r="AN9" s="480">
        <f t="shared" si="18"/>
        <v>0</v>
      </c>
      <c r="AO9" s="477">
        <f t="shared" si="19"/>
        <v>0</v>
      </c>
      <c r="AP9" s="481">
        <f t="shared" si="2"/>
        <v>0</v>
      </c>
      <c r="AQ9" s="481">
        <f t="shared" si="3"/>
        <v>0</v>
      </c>
      <c r="AR9" s="481">
        <f t="shared" si="4"/>
        <v>0</v>
      </c>
      <c r="AS9" s="481">
        <f t="shared" si="5"/>
        <v>0</v>
      </c>
      <c r="AT9" s="479">
        <f t="shared" si="20"/>
        <v>0</v>
      </c>
      <c r="AU9" s="479">
        <f t="shared" si="21"/>
        <v>0</v>
      </c>
      <c r="AV9" s="470">
        <f>IF(Données!$H$8="x",AW9,AX9)</f>
        <v>0.31666666666666665</v>
      </c>
      <c r="AW9" s="470">
        <f t="shared" si="6"/>
        <v>0.15833333333333333</v>
      </c>
      <c r="AX9" s="471">
        <f>IF(D9="L",AX8,(AX8+"07:36"))</f>
        <v>0.31666666666666665</v>
      </c>
      <c r="AY9" s="467" t="str">
        <f t="shared" si="22"/>
        <v>Lu</v>
      </c>
      <c r="AZ9" s="7">
        <f>IF((S40="HAU3")*AND(S41&lt;&gt;""),VLOOKUP(S41,Échelle!$W$5:$X$31,2),)</f>
        <v>0</v>
      </c>
      <c r="BA9" s="4" t="s">
        <v>2</v>
      </c>
      <c r="BB9" s="148"/>
      <c r="BC9" s="2"/>
    </row>
    <row r="10" spans="2:55" x14ac:dyDescent="0.2">
      <c r="B10" s="467" t="s">
        <v>176</v>
      </c>
      <c r="C10" s="468" t="s">
        <v>183</v>
      </c>
      <c r="D10" s="469"/>
      <c r="E10" s="469"/>
      <c r="F10" s="470"/>
      <c r="G10" s="470"/>
      <c r="H10" s="470"/>
      <c r="I10" s="470"/>
      <c r="J10" s="470"/>
      <c r="K10" s="470"/>
      <c r="L10" s="471">
        <f>(G10-F10)+(I10-H10)+(K10-J10)+AJ10+AO11</f>
        <v>0</v>
      </c>
      <c r="M10" s="471">
        <f t="shared" si="23"/>
        <v>0</v>
      </c>
      <c r="N10" s="471">
        <f t="shared" si="7"/>
        <v>0.6333333333333333</v>
      </c>
      <c r="O10" s="472" t="str">
        <f t="shared" si="8"/>
        <v>-</v>
      </c>
      <c r="P10" s="473">
        <f t="shared" si="9"/>
        <v>0.6333333333333333</v>
      </c>
      <c r="Q10" s="474">
        <f t="shared" si="10"/>
        <v>0</v>
      </c>
      <c r="R10" s="474">
        <f t="shared" si="11"/>
        <v>0</v>
      </c>
      <c r="S10" s="474">
        <f t="shared" si="12"/>
        <v>0</v>
      </c>
      <c r="T10" s="474">
        <f t="shared" si="13"/>
        <v>0</v>
      </c>
      <c r="U10" s="471">
        <f t="shared" si="14"/>
        <v>0</v>
      </c>
      <c r="V10" s="471">
        <f>IF(D10="F",L10,0)</f>
        <v>0</v>
      </c>
      <c r="W10" s="471">
        <f t="shared" si="15"/>
        <v>0</v>
      </c>
      <c r="X10" s="471">
        <f t="shared" si="16"/>
        <v>0</v>
      </c>
      <c r="Y10" s="470"/>
      <c r="Z10" s="470"/>
      <c r="AA10" s="469"/>
      <c r="AB10" s="475">
        <f t="shared" si="24"/>
        <v>0</v>
      </c>
      <c r="AC10" s="475">
        <f t="shared" si="25"/>
        <v>0</v>
      </c>
      <c r="AD10" s="475">
        <f t="shared" si="26"/>
        <v>0</v>
      </c>
      <c r="AE10" s="475">
        <f t="shared" si="27"/>
        <v>0</v>
      </c>
      <c r="AF10" s="476">
        <f t="shared" si="28"/>
        <v>0</v>
      </c>
      <c r="AG10" s="475">
        <f t="shared" si="29"/>
        <v>0</v>
      </c>
      <c r="AH10" s="476">
        <f t="shared" si="30"/>
        <v>0</v>
      </c>
      <c r="AI10" s="475">
        <f t="shared" si="31"/>
        <v>0</v>
      </c>
      <c r="AJ10" s="477">
        <f>IF((D10&lt;&gt;""),VLOOKUP(D10,Données!$E$36:$H$59,4,FALSE),)</f>
        <v>0</v>
      </c>
      <c r="AK10" s="477">
        <f t="shared" si="0"/>
        <v>0</v>
      </c>
      <c r="AL10" s="478">
        <f t="shared" si="17"/>
        <v>0</v>
      </c>
      <c r="AM10" s="479">
        <f t="shared" si="1"/>
        <v>0</v>
      </c>
      <c r="AN10" s="480">
        <f t="shared" si="18"/>
        <v>0</v>
      </c>
      <c r="AO10" s="477">
        <f t="shared" si="19"/>
        <v>0</v>
      </c>
      <c r="AP10" s="481">
        <f t="shared" si="2"/>
        <v>0</v>
      </c>
      <c r="AQ10" s="481">
        <f t="shared" si="3"/>
        <v>0</v>
      </c>
      <c r="AR10" s="481">
        <f t="shared" si="4"/>
        <v>0</v>
      </c>
      <c r="AS10" s="481">
        <f t="shared" si="5"/>
        <v>0</v>
      </c>
      <c r="AT10" s="479">
        <f t="shared" si="20"/>
        <v>0</v>
      </c>
      <c r="AU10" s="479">
        <f t="shared" si="21"/>
        <v>0</v>
      </c>
      <c r="AV10" s="470">
        <f>IF(Données!$H$8="x",AW10,AX10)</f>
        <v>0.6333333333333333</v>
      </c>
      <c r="AW10" s="470">
        <f>AX10/2</f>
        <v>0.31666666666666665</v>
      </c>
      <c r="AX10" s="471">
        <f>IF(D10="L",AX9,(AX9+"07:36"))</f>
        <v>0.6333333333333333</v>
      </c>
      <c r="AY10" s="467" t="str">
        <f t="shared" si="22"/>
        <v>Ma</v>
      </c>
      <c r="AZ10" s="7">
        <f>IF((S40="B1")*AND(S41&lt;&gt;""),VLOOKUP(S41,Échelle!$Z$5:$AA$31,2),)</f>
        <v>0</v>
      </c>
      <c r="BA10" s="4" t="s">
        <v>3</v>
      </c>
      <c r="BB10" s="148"/>
      <c r="BC10" s="2"/>
    </row>
    <row r="11" spans="2:55" x14ac:dyDescent="0.2">
      <c r="B11" s="467" t="s">
        <v>178</v>
      </c>
      <c r="C11" s="468" t="s">
        <v>185</v>
      </c>
      <c r="D11" s="469"/>
      <c r="E11" s="469"/>
      <c r="F11" s="470"/>
      <c r="G11" s="470"/>
      <c r="H11" s="470"/>
      <c r="I11" s="470"/>
      <c r="J11" s="470"/>
      <c r="K11" s="470"/>
      <c r="L11" s="471">
        <f>(G11-F11)+(I11-H11)+(K11-J11)+AJ11+AO12</f>
        <v>0</v>
      </c>
      <c r="M11" s="471">
        <f>M10+L11</f>
        <v>0</v>
      </c>
      <c r="N11" s="471">
        <f t="shared" si="7"/>
        <v>0.95</v>
      </c>
      <c r="O11" s="472" t="str">
        <f t="shared" si="8"/>
        <v>-</v>
      </c>
      <c r="P11" s="473">
        <f t="shared" si="9"/>
        <v>0.95</v>
      </c>
      <c r="Q11" s="474">
        <f t="shared" si="10"/>
        <v>0</v>
      </c>
      <c r="R11" s="474">
        <f t="shared" si="11"/>
        <v>0</v>
      </c>
      <c r="S11" s="474">
        <f t="shared" si="12"/>
        <v>0</v>
      </c>
      <c r="T11" s="474">
        <f t="shared" si="13"/>
        <v>0</v>
      </c>
      <c r="U11" s="471">
        <f t="shared" si="14"/>
        <v>0</v>
      </c>
      <c r="V11" s="471">
        <f>IF(D11="F",L11,0)</f>
        <v>0</v>
      </c>
      <c r="W11" s="471">
        <f t="shared" si="15"/>
        <v>0</v>
      </c>
      <c r="X11" s="471">
        <f t="shared" si="16"/>
        <v>0</v>
      </c>
      <c r="Y11" s="470"/>
      <c r="Z11" s="470"/>
      <c r="AA11" s="469"/>
      <c r="AB11" s="475">
        <f t="shared" si="24"/>
        <v>0</v>
      </c>
      <c r="AC11" s="475">
        <f t="shared" si="25"/>
        <v>0</v>
      </c>
      <c r="AD11" s="475">
        <f t="shared" si="26"/>
        <v>0</v>
      </c>
      <c r="AE11" s="475">
        <f t="shared" si="27"/>
        <v>0</v>
      </c>
      <c r="AF11" s="476">
        <f t="shared" si="28"/>
        <v>0</v>
      </c>
      <c r="AG11" s="475">
        <f t="shared" si="29"/>
        <v>0</v>
      </c>
      <c r="AH11" s="476">
        <f t="shared" si="30"/>
        <v>0</v>
      </c>
      <c r="AI11" s="475">
        <f t="shared" si="31"/>
        <v>0</v>
      </c>
      <c r="AJ11" s="477">
        <f>IF((D11&lt;&gt;""),VLOOKUP(D11,Données!$E$36:$H$59,4,FALSE),)</f>
        <v>0</v>
      </c>
      <c r="AK11" s="477">
        <f t="shared" si="0"/>
        <v>0</v>
      </c>
      <c r="AL11" s="478">
        <f t="shared" si="17"/>
        <v>0</v>
      </c>
      <c r="AM11" s="479">
        <f t="shared" si="1"/>
        <v>0</v>
      </c>
      <c r="AN11" s="480">
        <f t="shared" si="18"/>
        <v>0</v>
      </c>
      <c r="AO11" s="477">
        <f t="shared" si="19"/>
        <v>0</v>
      </c>
      <c r="AP11" s="481">
        <f t="shared" si="2"/>
        <v>0</v>
      </c>
      <c r="AQ11" s="481">
        <f t="shared" si="3"/>
        <v>0</v>
      </c>
      <c r="AR11" s="481">
        <f t="shared" si="4"/>
        <v>0</v>
      </c>
      <c r="AS11" s="481">
        <f t="shared" si="5"/>
        <v>0</v>
      </c>
      <c r="AT11" s="479">
        <f t="shared" si="20"/>
        <v>0</v>
      </c>
      <c r="AU11" s="479">
        <f t="shared" si="21"/>
        <v>0</v>
      </c>
      <c r="AV11" s="470">
        <f>IF(Données!$H$8="x",AW11,AX11)</f>
        <v>0.95</v>
      </c>
      <c r="AW11" s="470">
        <f>AX11/2</f>
        <v>0.47499999999999998</v>
      </c>
      <c r="AX11" s="471">
        <f>IF(D11="L",AX10,(AX10+"07:36"))</f>
        <v>0.95</v>
      </c>
      <c r="AY11" s="467" t="str">
        <f t="shared" si="22"/>
        <v>Me</v>
      </c>
      <c r="AZ11" s="7">
        <f>IF((S40="B2")*AND(S41&lt;&gt;""),VLOOKUP(S41,Échelle!$AC$5:$AD$31,2),)</f>
        <v>0</v>
      </c>
      <c r="BA11" s="4" t="s">
        <v>4</v>
      </c>
      <c r="BB11" s="148"/>
      <c r="BC11" s="2"/>
    </row>
    <row r="12" spans="2:55" x14ac:dyDescent="0.2">
      <c r="B12" s="467" t="s">
        <v>180</v>
      </c>
      <c r="C12" s="468" t="s">
        <v>187</v>
      </c>
      <c r="D12" s="469"/>
      <c r="E12" s="469"/>
      <c r="F12" s="470"/>
      <c r="G12" s="470"/>
      <c r="H12" s="470"/>
      <c r="I12" s="470"/>
      <c r="J12" s="470"/>
      <c r="K12" s="470"/>
      <c r="L12" s="471">
        <f>(G12-F12)+(I12-H12)+(K12-J12)+AJ12+AO13</f>
        <v>0</v>
      </c>
      <c r="M12" s="471">
        <f t="shared" si="23"/>
        <v>0</v>
      </c>
      <c r="N12" s="471">
        <f t="shared" si="7"/>
        <v>1.2666666666666666</v>
      </c>
      <c r="O12" s="472" t="str">
        <f t="shared" si="8"/>
        <v>-</v>
      </c>
      <c r="P12" s="473">
        <f t="shared" si="9"/>
        <v>1.2666666666666666</v>
      </c>
      <c r="Q12" s="474">
        <f t="shared" si="10"/>
        <v>0</v>
      </c>
      <c r="R12" s="474">
        <f t="shared" si="11"/>
        <v>0</v>
      </c>
      <c r="S12" s="474">
        <f t="shared" si="12"/>
        <v>0</v>
      </c>
      <c r="T12" s="474">
        <f t="shared" si="13"/>
        <v>0</v>
      </c>
      <c r="U12" s="471">
        <f t="shared" si="14"/>
        <v>0</v>
      </c>
      <c r="V12" s="471">
        <f>IF(D12="F",L12,0)</f>
        <v>0</v>
      </c>
      <c r="W12" s="471">
        <f t="shared" si="15"/>
        <v>0</v>
      </c>
      <c r="X12" s="471">
        <f t="shared" si="16"/>
        <v>0</v>
      </c>
      <c r="Y12" s="470"/>
      <c r="Z12" s="470"/>
      <c r="AA12" s="469"/>
      <c r="AB12" s="475">
        <f t="shared" si="24"/>
        <v>0</v>
      </c>
      <c r="AC12" s="475">
        <f t="shared" si="25"/>
        <v>0</v>
      </c>
      <c r="AD12" s="475">
        <f t="shared" si="26"/>
        <v>0</v>
      </c>
      <c r="AE12" s="475">
        <f t="shared" si="27"/>
        <v>0</v>
      </c>
      <c r="AF12" s="476">
        <f t="shared" si="28"/>
        <v>0</v>
      </c>
      <c r="AG12" s="475">
        <f t="shared" si="29"/>
        <v>0</v>
      </c>
      <c r="AH12" s="476">
        <f t="shared" si="30"/>
        <v>0</v>
      </c>
      <c r="AI12" s="475">
        <f t="shared" si="31"/>
        <v>0</v>
      </c>
      <c r="AJ12" s="477">
        <f>IF((D12&lt;&gt;""),VLOOKUP(D12,Données!$E$36:$H$59,4,FALSE),)</f>
        <v>0</v>
      </c>
      <c r="AK12" s="477">
        <f t="shared" si="0"/>
        <v>0</v>
      </c>
      <c r="AL12" s="478">
        <f t="shared" si="17"/>
        <v>0</v>
      </c>
      <c r="AM12" s="479">
        <f t="shared" si="1"/>
        <v>0</v>
      </c>
      <c r="AN12" s="480">
        <f t="shared" si="18"/>
        <v>0</v>
      </c>
      <c r="AO12" s="477">
        <f t="shared" si="19"/>
        <v>0</v>
      </c>
      <c r="AP12" s="481">
        <f t="shared" si="2"/>
        <v>0</v>
      </c>
      <c r="AQ12" s="481">
        <f t="shared" si="3"/>
        <v>0</v>
      </c>
      <c r="AR12" s="481">
        <f t="shared" si="4"/>
        <v>0</v>
      </c>
      <c r="AS12" s="481">
        <f t="shared" si="5"/>
        <v>0</v>
      </c>
      <c r="AT12" s="479">
        <f t="shared" si="20"/>
        <v>0</v>
      </c>
      <c r="AU12" s="479">
        <f t="shared" si="21"/>
        <v>0</v>
      </c>
      <c r="AV12" s="470">
        <f>IF(Données!$H$8="x",AW12,AX12)</f>
        <v>1.2666666666666666</v>
      </c>
      <c r="AW12" s="470">
        <f t="shared" si="6"/>
        <v>0.6333333333333333</v>
      </c>
      <c r="AX12" s="471">
        <f>IF(D12="L",AX11,(AX11+"07:36"))</f>
        <v>1.2666666666666666</v>
      </c>
      <c r="AY12" s="467" t="str">
        <f t="shared" si="22"/>
        <v>Je</v>
      </c>
      <c r="AZ12" s="7">
        <f>IF((S40="B3")*AND(S41&lt;&gt;""),VLOOKUP(S41,Échelle!$AF$5:$AG$31,2),)</f>
        <v>0</v>
      </c>
      <c r="BA12" s="4" t="s">
        <v>5</v>
      </c>
      <c r="BB12" s="148"/>
      <c r="BC12" s="2"/>
    </row>
    <row r="13" spans="2:55" x14ac:dyDescent="0.2">
      <c r="B13" s="467" t="s">
        <v>182</v>
      </c>
      <c r="C13" s="468" t="s">
        <v>189</v>
      </c>
      <c r="D13" s="469"/>
      <c r="E13" s="469"/>
      <c r="F13" s="470"/>
      <c r="G13" s="470"/>
      <c r="H13" s="470"/>
      <c r="I13" s="470"/>
      <c r="J13" s="470"/>
      <c r="K13" s="470"/>
      <c r="L13" s="471">
        <f>(G13-F13)+(I13-H13)+(K13-J13)+AJ13+AO14</f>
        <v>0</v>
      </c>
      <c r="M13" s="471">
        <f t="shared" si="23"/>
        <v>0</v>
      </c>
      <c r="N13" s="471">
        <f t="shared" si="7"/>
        <v>1.5833333333333333</v>
      </c>
      <c r="O13" s="472" t="str">
        <f t="shared" si="8"/>
        <v>-</v>
      </c>
      <c r="P13" s="473">
        <f t="shared" si="9"/>
        <v>1.5833333333333333</v>
      </c>
      <c r="Q13" s="474">
        <f t="shared" si="10"/>
        <v>0</v>
      </c>
      <c r="R13" s="474">
        <f t="shared" si="11"/>
        <v>0</v>
      </c>
      <c r="S13" s="474">
        <f t="shared" si="12"/>
        <v>0</v>
      </c>
      <c r="T13" s="474">
        <f t="shared" si="13"/>
        <v>0</v>
      </c>
      <c r="U13" s="471">
        <f t="shared" si="14"/>
        <v>0</v>
      </c>
      <c r="V13" s="471">
        <f>IF(D13="F",L13,0)</f>
        <v>0</v>
      </c>
      <c r="W13" s="471">
        <f t="shared" si="15"/>
        <v>0</v>
      </c>
      <c r="X13" s="471">
        <f t="shared" si="16"/>
        <v>0</v>
      </c>
      <c r="Y13" s="470"/>
      <c r="Z13" s="470"/>
      <c r="AA13" s="469"/>
      <c r="AB13" s="475">
        <f t="shared" si="24"/>
        <v>0</v>
      </c>
      <c r="AC13" s="475">
        <f t="shared" si="25"/>
        <v>0</v>
      </c>
      <c r="AD13" s="475">
        <f t="shared" si="26"/>
        <v>0</v>
      </c>
      <c r="AE13" s="475">
        <f t="shared" si="27"/>
        <v>0</v>
      </c>
      <c r="AF13" s="476">
        <f t="shared" si="28"/>
        <v>0</v>
      </c>
      <c r="AG13" s="475">
        <f t="shared" si="29"/>
        <v>0</v>
      </c>
      <c r="AH13" s="476">
        <f t="shared" si="30"/>
        <v>0</v>
      </c>
      <c r="AI13" s="475">
        <f t="shared" si="31"/>
        <v>0</v>
      </c>
      <c r="AJ13" s="477">
        <f>IF((D13&lt;&gt;""),VLOOKUP(D13,Données!$E$36:$H$59,4,FALSE),)</f>
        <v>0</v>
      </c>
      <c r="AK13" s="477">
        <f t="shared" si="0"/>
        <v>0</v>
      </c>
      <c r="AL13" s="478">
        <f t="shared" si="17"/>
        <v>0</v>
      </c>
      <c r="AM13" s="479">
        <f t="shared" si="1"/>
        <v>0</v>
      </c>
      <c r="AN13" s="480">
        <f t="shared" si="18"/>
        <v>0</v>
      </c>
      <c r="AO13" s="477">
        <f t="shared" si="19"/>
        <v>0</v>
      </c>
      <c r="AP13" s="481">
        <f t="shared" si="2"/>
        <v>0</v>
      </c>
      <c r="AQ13" s="481">
        <f t="shared" si="3"/>
        <v>0</v>
      </c>
      <c r="AR13" s="481">
        <f t="shared" si="4"/>
        <v>0</v>
      </c>
      <c r="AS13" s="481">
        <f t="shared" si="5"/>
        <v>0</v>
      </c>
      <c r="AT13" s="479">
        <f t="shared" si="20"/>
        <v>0</v>
      </c>
      <c r="AU13" s="479">
        <f t="shared" si="21"/>
        <v>0</v>
      </c>
      <c r="AV13" s="470">
        <f>IF(Données!$H$8="x",AW13,AX13)</f>
        <v>1.5833333333333333</v>
      </c>
      <c r="AW13" s="470">
        <f t="shared" si="6"/>
        <v>0.79166666666666663</v>
      </c>
      <c r="AX13" s="471">
        <f>IF(D13="L",AX12,(AX12+"07:36"))</f>
        <v>1.5833333333333333</v>
      </c>
      <c r="AY13" s="467" t="str">
        <f t="shared" si="22"/>
        <v>Ve</v>
      </c>
      <c r="AZ13" s="7">
        <f>IF((S40="B4")*AND(S41&lt;&gt;""),VLOOKUP(S41,Échelle!$AI$5:$AJ$34,2),)</f>
        <v>24661</v>
      </c>
      <c r="BA13" s="4" t="s">
        <v>6</v>
      </c>
      <c r="BB13" s="148"/>
      <c r="BC13" s="2"/>
    </row>
    <row r="14" spans="2:55" x14ac:dyDescent="0.2">
      <c r="B14" s="403" t="s">
        <v>184</v>
      </c>
      <c r="C14" s="412" t="s">
        <v>190</v>
      </c>
      <c r="D14" s="411"/>
      <c r="E14" s="411"/>
      <c r="F14" s="401"/>
      <c r="G14" s="401"/>
      <c r="H14" s="401"/>
      <c r="I14" s="401"/>
      <c r="J14" s="401"/>
      <c r="K14" s="401"/>
      <c r="L14" s="402">
        <f>(G14-F14)+(I14-H14)+(K14-J14)</f>
        <v>0</v>
      </c>
      <c r="M14" s="402">
        <f t="shared" si="23"/>
        <v>0</v>
      </c>
      <c r="N14" s="402">
        <f t="shared" si="7"/>
        <v>1.5833333333333333</v>
      </c>
      <c r="O14" s="419" t="str">
        <f t="shared" si="8"/>
        <v>-</v>
      </c>
      <c r="P14" s="413">
        <f t="shared" si="9"/>
        <v>1.5833333333333333</v>
      </c>
      <c r="Q14" s="410">
        <f t="shared" si="10"/>
        <v>0</v>
      </c>
      <c r="R14" s="410">
        <f t="shared" si="11"/>
        <v>0</v>
      </c>
      <c r="S14" s="410">
        <f t="shared" si="12"/>
        <v>0</v>
      </c>
      <c r="T14" s="410">
        <f t="shared" si="13"/>
        <v>0</v>
      </c>
      <c r="U14" s="402">
        <f t="shared" si="14"/>
        <v>0</v>
      </c>
      <c r="V14" s="402">
        <f>L14</f>
        <v>0</v>
      </c>
      <c r="W14" s="402">
        <f t="shared" si="15"/>
        <v>0</v>
      </c>
      <c r="X14" s="402">
        <f t="shared" si="16"/>
        <v>0</v>
      </c>
      <c r="Y14" s="401"/>
      <c r="Z14" s="401"/>
      <c r="AA14" s="411"/>
      <c r="AB14" s="420">
        <f t="shared" si="24"/>
        <v>0</v>
      </c>
      <c r="AC14" s="420">
        <f t="shared" si="25"/>
        <v>0</v>
      </c>
      <c r="AD14" s="420">
        <f t="shared" si="26"/>
        <v>0</v>
      </c>
      <c r="AE14" s="420">
        <f t="shared" si="27"/>
        <v>0</v>
      </c>
      <c r="AF14" s="421">
        <f t="shared" si="28"/>
        <v>0</v>
      </c>
      <c r="AG14" s="420">
        <f t="shared" si="29"/>
        <v>0</v>
      </c>
      <c r="AH14" s="421">
        <f t="shared" si="30"/>
        <v>0</v>
      </c>
      <c r="AI14" s="420">
        <f t="shared" si="31"/>
        <v>0</v>
      </c>
      <c r="AJ14" s="422">
        <f>IF((D14&lt;&gt;""),VLOOKUP(D14,Données!$E$36:$H$59,4,FALSE),)</f>
        <v>0</v>
      </c>
      <c r="AK14" s="422">
        <f t="shared" si="0"/>
        <v>0</v>
      </c>
      <c r="AL14" s="423">
        <f t="shared" si="17"/>
        <v>0</v>
      </c>
      <c r="AM14" s="424">
        <f t="shared" si="1"/>
        <v>0</v>
      </c>
      <c r="AN14" s="425">
        <f t="shared" si="18"/>
        <v>0</v>
      </c>
      <c r="AO14" s="422">
        <f t="shared" si="19"/>
        <v>0</v>
      </c>
      <c r="AP14" s="426">
        <f t="shared" si="2"/>
        <v>0</v>
      </c>
      <c r="AQ14" s="426">
        <f t="shared" si="3"/>
        <v>0</v>
      </c>
      <c r="AR14" s="426">
        <f t="shared" si="4"/>
        <v>0</v>
      </c>
      <c r="AS14" s="426">
        <f t="shared" si="5"/>
        <v>0</v>
      </c>
      <c r="AT14" s="424">
        <f t="shared" si="20"/>
        <v>0</v>
      </c>
      <c r="AU14" s="424">
        <f t="shared" si="21"/>
        <v>0</v>
      </c>
      <c r="AV14" s="401">
        <f>IF(Données!$H$8="x",AW14,AX14)</f>
        <v>1.5833333333333333</v>
      </c>
      <c r="AW14" s="401">
        <f t="shared" si="6"/>
        <v>0.79166666666666663</v>
      </c>
      <c r="AX14" s="402">
        <f>AX13</f>
        <v>1.5833333333333333</v>
      </c>
      <c r="AY14" s="403" t="str">
        <f t="shared" si="22"/>
        <v>Sa</v>
      </c>
      <c r="AZ14" s="7">
        <f>IF((S40="B5")*AND(S41&lt;&gt;""),VLOOKUP(S41,Échelle!$AL$5:$AM$34,2),)</f>
        <v>0</v>
      </c>
      <c r="BA14" s="4" t="s">
        <v>7</v>
      </c>
      <c r="BB14" s="148"/>
      <c r="BC14" s="2"/>
    </row>
    <row r="15" spans="2:55" x14ac:dyDescent="0.2">
      <c r="B15" s="403" t="s">
        <v>186</v>
      </c>
      <c r="C15" s="412" t="s">
        <v>191</v>
      </c>
      <c r="D15" s="411"/>
      <c r="E15" s="411"/>
      <c r="F15" s="401"/>
      <c r="G15" s="401"/>
      <c r="H15" s="401"/>
      <c r="I15" s="401"/>
      <c r="J15" s="401"/>
      <c r="K15" s="401"/>
      <c r="L15" s="402">
        <f>(G15-F15)+(I15-H15)+(K15-J15)</f>
        <v>0</v>
      </c>
      <c r="M15" s="402">
        <f>M14+L15</f>
        <v>0</v>
      </c>
      <c r="N15" s="402">
        <f t="shared" si="7"/>
        <v>1.5833333333333333</v>
      </c>
      <c r="O15" s="419" t="str">
        <f t="shared" si="8"/>
        <v>-</v>
      </c>
      <c r="P15" s="413">
        <f t="shared" si="9"/>
        <v>1.5833333333333333</v>
      </c>
      <c r="Q15" s="410">
        <f t="shared" si="10"/>
        <v>0</v>
      </c>
      <c r="R15" s="410">
        <f t="shared" si="11"/>
        <v>0</v>
      </c>
      <c r="S15" s="410">
        <f t="shared" si="12"/>
        <v>0</v>
      </c>
      <c r="T15" s="410">
        <f t="shared" si="13"/>
        <v>0</v>
      </c>
      <c r="U15" s="402">
        <f t="shared" si="14"/>
        <v>0</v>
      </c>
      <c r="V15" s="402">
        <f>L15</f>
        <v>0</v>
      </c>
      <c r="W15" s="402">
        <f t="shared" si="15"/>
        <v>0</v>
      </c>
      <c r="X15" s="402">
        <f t="shared" si="16"/>
        <v>0</v>
      </c>
      <c r="Y15" s="401"/>
      <c r="Z15" s="401"/>
      <c r="AA15" s="411"/>
      <c r="AB15" s="420">
        <f t="shared" si="24"/>
        <v>0</v>
      </c>
      <c r="AC15" s="420">
        <f t="shared" si="25"/>
        <v>0</v>
      </c>
      <c r="AD15" s="420">
        <f t="shared" si="26"/>
        <v>0</v>
      </c>
      <c r="AE15" s="420">
        <f t="shared" si="27"/>
        <v>0</v>
      </c>
      <c r="AF15" s="421">
        <f t="shared" si="28"/>
        <v>0</v>
      </c>
      <c r="AG15" s="420">
        <f t="shared" si="29"/>
        <v>0</v>
      </c>
      <c r="AH15" s="421">
        <f t="shared" si="30"/>
        <v>0</v>
      </c>
      <c r="AI15" s="420">
        <f t="shared" si="31"/>
        <v>0</v>
      </c>
      <c r="AJ15" s="422">
        <f>IF((D15&lt;&gt;""),VLOOKUP(D15,Données!$E$36:$H$59,4,FALSE),)</f>
        <v>0</v>
      </c>
      <c r="AK15" s="422">
        <f t="shared" si="0"/>
        <v>0</v>
      </c>
      <c r="AL15" s="423">
        <f t="shared" si="17"/>
        <v>0</v>
      </c>
      <c r="AM15" s="424">
        <f t="shared" si="1"/>
        <v>0</v>
      </c>
      <c r="AN15" s="425">
        <f t="shared" si="18"/>
        <v>0</v>
      </c>
      <c r="AO15" s="422">
        <f t="shared" si="19"/>
        <v>0</v>
      </c>
      <c r="AP15" s="426">
        <f t="shared" si="2"/>
        <v>0</v>
      </c>
      <c r="AQ15" s="426">
        <f t="shared" si="3"/>
        <v>0</v>
      </c>
      <c r="AR15" s="426">
        <f t="shared" si="4"/>
        <v>0</v>
      </c>
      <c r="AS15" s="426">
        <f t="shared" si="5"/>
        <v>0</v>
      </c>
      <c r="AT15" s="424">
        <f t="shared" si="20"/>
        <v>0</v>
      </c>
      <c r="AU15" s="424">
        <f t="shared" si="21"/>
        <v>0</v>
      </c>
      <c r="AV15" s="401">
        <f>IF(Données!$H$8="x",AW15,AX15)</f>
        <v>1.5833333333333333</v>
      </c>
      <c r="AW15" s="401">
        <f t="shared" si="6"/>
        <v>0.79166666666666663</v>
      </c>
      <c r="AX15" s="402">
        <f>AX14</f>
        <v>1.5833333333333333</v>
      </c>
      <c r="AY15" s="403" t="str">
        <f t="shared" si="22"/>
        <v>Di</v>
      </c>
      <c r="AZ15" s="7">
        <f>IF((S40="M1.1")*AND(S41&lt;&gt;""),VLOOKUP(S41,Échelle!$AO$5:$AP$31,2),)</f>
        <v>0</v>
      </c>
      <c r="BA15" s="4" t="s">
        <v>8</v>
      </c>
      <c r="BB15" s="148"/>
      <c r="BC15" s="2"/>
    </row>
    <row r="16" spans="2:55" x14ac:dyDescent="0.2">
      <c r="B16" s="467" t="s">
        <v>188</v>
      </c>
      <c r="C16" s="468" t="s">
        <v>192</v>
      </c>
      <c r="D16" s="469"/>
      <c r="E16" s="469"/>
      <c r="F16" s="470"/>
      <c r="G16" s="470"/>
      <c r="H16" s="470"/>
      <c r="I16" s="470"/>
      <c r="J16" s="470"/>
      <c r="K16" s="470"/>
      <c r="L16" s="471">
        <f>(G16-F16)+(I16-H16)+(K16-J16)+AJ16+AO16</f>
        <v>0</v>
      </c>
      <c r="M16" s="471">
        <f t="shared" ref="M16:M21" si="32">M15+L16</f>
        <v>0</v>
      </c>
      <c r="N16" s="471">
        <f t="shared" si="7"/>
        <v>1.9</v>
      </c>
      <c r="O16" s="472" t="str">
        <f t="shared" si="8"/>
        <v>-</v>
      </c>
      <c r="P16" s="473">
        <f t="shared" si="9"/>
        <v>1.9</v>
      </c>
      <c r="Q16" s="474">
        <f t="shared" si="10"/>
        <v>0</v>
      </c>
      <c r="R16" s="474">
        <f t="shared" si="11"/>
        <v>0</v>
      </c>
      <c r="S16" s="474">
        <f t="shared" si="12"/>
        <v>0</v>
      </c>
      <c r="T16" s="474">
        <f t="shared" si="13"/>
        <v>0</v>
      </c>
      <c r="U16" s="471">
        <f t="shared" si="14"/>
        <v>0</v>
      </c>
      <c r="V16" s="471">
        <f>IF(D16="F",L16,0)</f>
        <v>0</v>
      </c>
      <c r="W16" s="471">
        <f t="shared" si="15"/>
        <v>0</v>
      </c>
      <c r="X16" s="471">
        <f t="shared" si="16"/>
        <v>0</v>
      </c>
      <c r="Y16" s="470"/>
      <c r="Z16" s="470"/>
      <c r="AA16" s="469"/>
      <c r="AB16" s="475">
        <f t="shared" si="24"/>
        <v>0</v>
      </c>
      <c r="AC16" s="475">
        <f t="shared" si="25"/>
        <v>0</v>
      </c>
      <c r="AD16" s="475">
        <f t="shared" si="26"/>
        <v>0</v>
      </c>
      <c r="AE16" s="475">
        <f t="shared" si="27"/>
        <v>0</v>
      </c>
      <c r="AF16" s="476">
        <f t="shared" si="28"/>
        <v>0</v>
      </c>
      <c r="AG16" s="475">
        <f t="shared" si="29"/>
        <v>0</v>
      </c>
      <c r="AH16" s="476">
        <f t="shared" si="30"/>
        <v>0</v>
      </c>
      <c r="AI16" s="475">
        <f t="shared" si="31"/>
        <v>0</v>
      </c>
      <c r="AJ16" s="477">
        <f>IF((D16&lt;&gt;""),VLOOKUP(D16,Données!$E$36:$H$59,4,FALSE),)</f>
        <v>0</v>
      </c>
      <c r="AK16" s="477">
        <f t="shared" si="0"/>
        <v>0</v>
      </c>
      <c r="AL16" s="478">
        <f t="shared" si="17"/>
        <v>0</v>
      </c>
      <c r="AM16" s="479">
        <f t="shared" si="1"/>
        <v>0</v>
      </c>
      <c r="AN16" s="480">
        <f t="shared" si="18"/>
        <v>0</v>
      </c>
      <c r="AO16" s="477">
        <f t="shared" si="19"/>
        <v>0</v>
      </c>
      <c r="AP16" s="481">
        <f t="shared" si="2"/>
        <v>0</v>
      </c>
      <c r="AQ16" s="481">
        <f t="shared" si="3"/>
        <v>0</v>
      </c>
      <c r="AR16" s="481">
        <f t="shared" si="4"/>
        <v>0</v>
      </c>
      <c r="AS16" s="481">
        <f t="shared" si="5"/>
        <v>0</v>
      </c>
      <c r="AT16" s="479">
        <f t="shared" si="20"/>
        <v>0</v>
      </c>
      <c r="AU16" s="479">
        <f t="shared" si="21"/>
        <v>0</v>
      </c>
      <c r="AV16" s="470">
        <f>IF(Données!$H$8="x",AW16,AX16)</f>
        <v>1.9</v>
      </c>
      <c r="AW16" s="470">
        <f t="shared" si="6"/>
        <v>0.95</v>
      </c>
      <c r="AX16" s="471">
        <f>IF(D16="L",AX15,(AX15+"07:36"))</f>
        <v>1.9</v>
      </c>
      <c r="AY16" s="467" t="str">
        <f t="shared" si="22"/>
        <v>Lu</v>
      </c>
      <c r="AZ16" s="7">
        <f>IF((S40="M1.2")*AND(S41&lt;&gt;""),VLOOKUP(S41,Échelle!$AR$5:$AS$31,2),)</f>
        <v>0</v>
      </c>
      <c r="BA16" s="4" t="s">
        <v>9</v>
      </c>
      <c r="BB16" s="148"/>
      <c r="BC16" s="2"/>
    </row>
    <row r="17" spans="2:55" x14ac:dyDescent="0.2">
      <c r="B17" s="467" t="s">
        <v>176</v>
      </c>
      <c r="C17" s="468" t="s">
        <v>193</v>
      </c>
      <c r="D17" s="469"/>
      <c r="E17" s="469"/>
      <c r="F17" s="470"/>
      <c r="G17" s="470"/>
      <c r="H17" s="470"/>
      <c r="I17" s="470"/>
      <c r="J17" s="470"/>
      <c r="K17" s="470"/>
      <c r="L17" s="471">
        <f>(G17-F17)+(I17-H17)+(K17-J17)+AJ17+AO17</f>
        <v>0</v>
      </c>
      <c r="M17" s="471">
        <f t="shared" si="32"/>
        <v>0</v>
      </c>
      <c r="N17" s="471">
        <f t="shared" si="7"/>
        <v>2.2166666666666668</v>
      </c>
      <c r="O17" s="472" t="str">
        <f t="shared" si="8"/>
        <v>-</v>
      </c>
      <c r="P17" s="473">
        <f t="shared" si="9"/>
        <v>2.2166666666666668</v>
      </c>
      <c r="Q17" s="474">
        <f t="shared" si="10"/>
        <v>0</v>
      </c>
      <c r="R17" s="474">
        <f t="shared" si="11"/>
        <v>0</v>
      </c>
      <c r="S17" s="474">
        <f t="shared" si="12"/>
        <v>0</v>
      </c>
      <c r="T17" s="474">
        <f t="shared" si="13"/>
        <v>0</v>
      </c>
      <c r="U17" s="471">
        <f t="shared" si="14"/>
        <v>0</v>
      </c>
      <c r="V17" s="471">
        <f>IF(D17="F",L17,0)</f>
        <v>0</v>
      </c>
      <c r="W17" s="471">
        <f t="shared" si="15"/>
        <v>0</v>
      </c>
      <c r="X17" s="471">
        <f t="shared" si="16"/>
        <v>0</v>
      </c>
      <c r="Y17" s="470"/>
      <c r="Z17" s="470"/>
      <c r="AA17" s="469"/>
      <c r="AB17" s="475">
        <f t="shared" si="24"/>
        <v>0</v>
      </c>
      <c r="AC17" s="475">
        <f t="shared" si="25"/>
        <v>0</v>
      </c>
      <c r="AD17" s="475">
        <f t="shared" si="26"/>
        <v>0</v>
      </c>
      <c r="AE17" s="475">
        <f t="shared" si="27"/>
        <v>0</v>
      </c>
      <c r="AF17" s="476">
        <f t="shared" si="28"/>
        <v>0</v>
      </c>
      <c r="AG17" s="475">
        <f t="shared" si="29"/>
        <v>0</v>
      </c>
      <c r="AH17" s="476">
        <f t="shared" si="30"/>
        <v>0</v>
      </c>
      <c r="AI17" s="475">
        <f t="shared" si="31"/>
        <v>0</v>
      </c>
      <c r="AJ17" s="477">
        <f>IF((D17&lt;&gt;""),VLOOKUP(D17,Données!$E$36:$H$59,4,FALSE),)</f>
        <v>0</v>
      </c>
      <c r="AK17" s="477">
        <f t="shared" si="0"/>
        <v>0</v>
      </c>
      <c r="AL17" s="478">
        <f t="shared" si="17"/>
        <v>0</v>
      </c>
      <c r="AM17" s="479">
        <f t="shared" si="1"/>
        <v>0</v>
      </c>
      <c r="AN17" s="480">
        <f t="shared" si="18"/>
        <v>0</v>
      </c>
      <c r="AO17" s="477">
        <f t="shared" si="19"/>
        <v>0</v>
      </c>
      <c r="AP17" s="481">
        <f t="shared" si="2"/>
        <v>0</v>
      </c>
      <c r="AQ17" s="481">
        <f t="shared" si="3"/>
        <v>0</v>
      </c>
      <c r="AR17" s="481">
        <f t="shared" si="4"/>
        <v>0</v>
      </c>
      <c r="AS17" s="481">
        <f t="shared" si="5"/>
        <v>0</v>
      </c>
      <c r="AT17" s="479">
        <f t="shared" si="20"/>
        <v>0</v>
      </c>
      <c r="AU17" s="479">
        <f t="shared" si="21"/>
        <v>0</v>
      </c>
      <c r="AV17" s="470">
        <f>IF(Données!$H$8="x",AW17,AX17)</f>
        <v>2.2166666666666668</v>
      </c>
      <c r="AW17" s="470">
        <f t="shared" si="6"/>
        <v>1.1083333333333334</v>
      </c>
      <c r="AX17" s="471">
        <f>IF(D17="L",AX16,(AX16+"07:36"))</f>
        <v>2.2166666666666668</v>
      </c>
      <c r="AY17" s="467" t="str">
        <f t="shared" si="22"/>
        <v>Ma</v>
      </c>
      <c r="AZ17" s="7">
        <f>IF((S40="M2.1")*AND(S41&lt;&gt;""),VLOOKUP(S41,Échelle!$AU$5:$AV$31,2),)</f>
        <v>0</v>
      </c>
      <c r="BA17" s="4" t="s">
        <v>10</v>
      </c>
      <c r="BB17" s="148"/>
      <c r="BC17" s="2"/>
    </row>
    <row r="18" spans="2:55" x14ac:dyDescent="0.2">
      <c r="B18" s="467" t="s">
        <v>178</v>
      </c>
      <c r="C18" s="468" t="s">
        <v>194</v>
      </c>
      <c r="D18" s="469"/>
      <c r="E18" s="469"/>
      <c r="F18" s="470"/>
      <c r="G18" s="470"/>
      <c r="H18" s="470"/>
      <c r="I18" s="470"/>
      <c r="J18" s="470"/>
      <c r="K18" s="470"/>
      <c r="L18" s="471">
        <f>(G18-F18)+(I18-H18)+(K18-J18)+AJ18+AO18</f>
        <v>0</v>
      </c>
      <c r="M18" s="471">
        <f t="shared" si="32"/>
        <v>0</v>
      </c>
      <c r="N18" s="471">
        <f t="shared" si="7"/>
        <v>2.5333333333333332</v>
      </c>
      <c r="O18" s="472" t="str">
        <f t="shared" si="8"/>
        <v>-</v>
      </c>
      <c r="P18" s="473">
        <f t="shared" si="9"/>
        <v>2.5333333333333332</v>
      </c>
      <c r="Q18" s="474">
        <f t="shared" si="10"/>
        <v>0</v>
      </c>
      <c r="R18" s="474">
        <f t="shared" si="11"/>
        <v>0</v>
      </c>
      <c r="S18" s="474">
        <f t="shared" si="12"/>
        <v>0</v>
      </c>
      <c r="T18" s="474">
        <f t="shared" si="13"/>
        <v>0</v>
      </c>
      <c r="U18" s="471">
        <f t="shared" si="14"/>
        <v>0</v>
      </c>
      <c r="V18" s="471">
        <f>IF(D18="F",L18,0)</f>
        <v>0</v>
      </c>
      <c r="W18" s="471">
        <f t="shared" si="15"/>
        <v>0</v>
      </c>
      <c r="X18" s="471">
        <f t="shared" si="16"/>
        <v>0</v>
      </c>
      <c r="Y18" s="470"/>
      <c r="Z18" s="470"/>
      <c r="AA18" s="469"/>
      <c r="AB18" s="475">
        <f t="shared" si="24"/>
        <v>0</v>
      </c>
      <c r="AC18" s="475">
        <f t="shared" si="25"/>
        <v>0</v>
      </c>
      <c r="AD18" s="475">
        <f t="shared" si="26"/>
        <v>0</v>
      </c>
      <c r="AE18" s="475">
        <f t="shared" si="27"/>
        <v>0</v>
      </c>
      <c r="AF18" s="476">
        <f t="shared" si="28"/>
        <v>0</v>
      </c>
      <c r="AG18" s="475">
        <f t="shared" si="29"/>
        <v>0</v>
      </c>
      <c r="AH18" s="476">
        <f t="shared" si="30"/>
        <v>0</v>
      </c>
      <c r="AI18" s="475">
        <f t="shared" si="31"/>
        <v>0</v>
      </c>
      <c r="AJ18" s="477">
        <f>IF((D18&lt;&gt;""),VLOOKUP(D18,Données!$E$36:$H$59,4,FALSE),)</f>
        <v>0</v>
      </c>
      <c r="AK18" s="477">
        <f t="shared" si="0"/>
        <v>0</v>
      </c>
      <c r="AL18" s="478">
        <f t="shared" si="17"/>
        <v>0</v>
      </c>
      <c r="AM18" s="479">
        <f t="shared" si="1"/>
        <v>0</v>
      </c>
      <c r="AN18" s="480">
        <f t="shared" si="18"/>
        <v>0</v>
      </c>
      <c r="AO18" s="477">
        <f t="shared" si="19"/>
        <v>0</v>
      </c>
      <c r="AP18" s="481">
        <f t="shared" si="2"/>
        <v>0</v>
      </c>
      <c r="AQ18" s="481">
        <f t="shared" si="3"/>
        <v>0</v>
      </c>
      <c r="AR18" s="481">
        <f t="shared" si="4"/>
        <v>0</v>
      </c>
      <c r="AS18" s="481">
        <f t="shared" si="5"/>
        <v>0</v>
      </c>
      <c r="AT18" s="479">
        <f t="shared" si="20"/>
        <v>0</v>
      </c>
      <c r="AU18" s="479">
        <f t="shared" si="21"/>
        <v>0</v>
      </c>
      <c r="AV18" s="470">
        <f>IF(Données!$H$8="x",AW18,AX18)</f>
        <v>2.5333333333333332</v>
      </c>
      <c r="AW18" s="470">
        <f t="shared" si="6"/>
        <v>1.2666666666666666</v>
      </c>
      <c r="AX18" s="471">
        <f>IF(D18="L",AX17,(AX17+"07:36"))</f>
        <v>2.5333333333333332</v>
      </c>
      <c r="AY18" s="467" t="str">
        <f t="shared" si="22"/>
        <v>Me</v>
      </c>
      <c r="AZ18" s="7">
        <f>IF((S40="M2.2")*AND(S41&lt;&gt;""),VLOOKUP(S41,Échelle!$AX$5:$AY$31,2),)</f>
        <v>0</v>
      </c>
      <c r="BA18" s="4" t="s">
        <v>11</v>
      </c>
      <c r="BB18" s="148"/>
      <c r="BC18" s="2"/>
    </row>
    <row r="19" spans="2:55" x14ac:dyDescent="0.2">
      <c r="B19" s="467" t="s">
        <v>180</v>
      </c>
      <c r="C19" s="468" t="s">
        <v>195</v>
      </c>
      <c r="D19" s="469"/>
      <c r="E19" s="469"/>
      <c r="F19" s="470"/>
      <c r="G19" s="470"/>
      <c r="H19" s="470"/>
      <c r="I19" s="470"/>
      <c r="J19" s="470"/>
      <c r="K19" s="470"/>
      <c r="L19" s="471">
        <f>(G19-F19)+(I19-H19)+(K19-J19)+AJ19+AO19</f>
        <v>0</v>
      </c>
      <c r="M19" s="471">
        <f t="shared" si="32"/>
        <v>0</v>
      </c>
      <c r="N19" s="471">
        <f t="shared" si="7"/>
        <v>2.8499999999999996</v>
      </c>
      <c r="O19" s="472" t="str">
        <f t="shared" si="8"/>
        <v>-</v>
      </c>
      <c r="P19" s="473">
        <f t="shared" si="9"/>
        <v>2.8499999999999996</v>
      </c>
      <c r="Q19" s="474">
        <f t="shared" si="10"/>
        <v>0</v>
      </c>
      <c r="R19" s="474">
        <f t="shared" si="11"/>
        <v>0</v>
      </c>
      <c r="S19" s="474">
        <f t="shared" si="12"/>
        <v>0</v>
      </c>
      <c r="T19" s="474">
        <f t="shared" si="13"/>
        <v>0</v>
      </c>
      <c r="U19" s="471">
        <f t="shared" si="14"/>
        <v>0</v>
      </c>
      <c r="V19" s="471">
        <f>IF(D19="F",L19,0)</f>
        <v>0</v>
      </c>
      <c r="W19" s="471">
        <f t="shared" si="15"/>
        <v>0</v>
      </c>
      <c r="X19" s="471">
        <f t="shared" si="16"/>
        <v>0</v>
      </c>
      <c r="Y19" s="470"/>
      <c r="Z19" s="470"/>
      <c r="AA19" s="469"/>
      <c r="AB19" s="475">
        <f t="shared" si="24"/>
        <v>0</v>
      </c>
      <c r="AC19" s="475">
        <f t="shared" si="25"/>
        <v>0</v>
      </c>
      <c r="AD19" s="475">
        <f t="shared" si="26"/>
        <v>0</v>
      </c>
      <c r="AE19" s="475">
        <f t="shared" si="27"/>
        <v>0</v>
      </c>
      <c r="AF19" s="476">
        <f t="shared" si="28"/>
        <v>0</v>
      </c>
      <c r="AG19" s="475">
        <f t="shared" si="29"/>
        <v>0</v>
      </c>
      <c r="AH19" s="476">
        <f t="shared" si="30"/>
        <v>0</v>
      </c>
      <c r="AI19" s="475">
        <f t="shared" si="31"/>
        <v>0</v>
      </c>
      <c r="AJ19" s="477">
        <f>IF((D19&lt;&gt;""),VLOOKUP(D19,Données!$E$36:$H$59,4,FALSE),)</f>
        <v>0</v>
      </c>
      <c r="AK19" s="477">
        <f t="shared" si="0"/>
        <v>0</v>
      </c>
      <c r="AL19" s="478">
        <f t="shared" si="17"/>
        <v>0</v>
      </c>
      <c r="AM19" s="479">
        <f t="shared" si="1"/>
        <v>0</v>
      </c>
      <c r="AN19" s="480">
        <f t="shared" si="18"/>
        <v>0</v>
      </c>
      <c r="AO19" s="477">
        <f t="shared" si="19"/>
        <v>0</v>
      </c>
      <c r="AP19" s="481">
        <f t="shared" si="2"/>
        <v>0</v>
      </c>
      <c r="AQ19" s="481">
        <f t="shared" si="3"/>
        <v>0</v>
      </c>
      <c r="AR19" s="481">
        <f t="shared" si="4"/>
        <v>0</v>
      </c>
      <c r="AS19" s="481">
        <f t="shared" si="5"/>
        <v>0</v>
      </c>
      <c r="AT19" s="479">
        <f t="shared" si="20"/>
        <v>0</v>
      </c>
      <c r="AU19" s="479">
        <f t="shared" si="21"/>
        <v>0</v>
      </c>
      <c r="AV19" s="470">
        <f>IF(Données!$H$8="x",AW19,AX19)</f>
        <v>2.8499999999999996</v>
      </c>
      <c r="AW19" s="471">
        <f t="shared" si="6"/>
        <v>1.4249999999999998</v>
      </c>
      <c r="AX19" s="471">
        <f>IF(D19="L",AX18,(AX18+"07:36"))</f>
        <v>2.8499999999999996</v>
      </c>
      <c r="AY19" s="467" t="str">
        <f t="shared" si="22"/>
        <v>Je</v>
      </c>
      <c r="AZ19" s="7">
        <f>IF((S40="M3.1")*AND(S41&lt;&gt;""),VLOOKUP(S41,Échelle!$BA$5:$BB$31,2),)</f>
        <v>0</v>
      </c>
      <c r="BA19" s="4" t="s">
        <v>12</v>
      </c>
      <c r="BB19" s="148"/>
      <c r="BC19" s="2"/>
    </row>
    <row r="20" spans="2:55" x14ac:dyDescent="0.2">
      <c r="B20" s="467" t="s">
        <v>182</v>
      </c>
      <c r="C20" s="468" t="s">
        <v>196</v>
      </c>
      <c r="D20" s="469"/>
      <c r="E20" s="469"/>
      <c r="F20" s="470"/>
      <c r="G20" s="470"/>
      <c r="H20" s="470"/>
      <c r="I20" s="470"/>
      <c r="J20" s="470"/>
      <c r="K20" s="470"/>
      <c r="L20" s="471">
        <f>(G20-F20)+(I20-H20)+(K20-J20)+AJ20+AO20</f>
        <v>0</v>
      </c>
      <c r="M20" s="471">
        <f t="shared" si="32"/>
        <v>0</v>
      </c>
      <c r="N20" s="471">
        <f t="shared" si="7"/>
        <v>3.1666666666666661</v>
      </c>
      <c r="O20" s="472" t="str">
        <f t="shared" si="8"/>
        <v>-</v>
      </c>
      <c r="P20" s="473">
        <f t="shared" si="9"/>
        <v>3.1666666666666661</v>
      </c>
      <c r="Q20" s="474">
        <f t="shared" si="10"/>
        <v>0</v>
      </c>
      <c r="R20" s="474">
        <f t="shared" si="11"/>
        <v>0</v>
      </c>
      <c r="S20" s="474">
        <f t="shared" si="12"/>
        <v>0</v>
      </c>
      <c r="T20" s="474">
        <f t="shared" si="13"/>
        <v>0</v>
      </c>
      <c r="U20" s="471">
        <f t="shared" si="14"/>
        <v>0</v>
      </c>
      <c r="V20" s="471">
        <f>IF(D20="F",L20,0)</f>
        <v>0</v>
      </c>
      <c r="W20" s="471">
        <f t="shared" si="15"/>
        <v>0</v>
      </c>
      <c r="X20" s="471">
        <f t="shared" si="16"/>
        <v>0</v>
      </c>
      <c r="Y20" s="470"/>
      <c r="Z20" s="470"/>
      <c r="AA20" s="469"/>
      <c r="AB20" s="475">
        <f t="shared" si="24"/>
        <v>0</v>
      </c>
      <c r="AC20" s="475">
        <f t="shared" si="25"/>
        <v>0</v>
      </c>
      <c r="AD20" s="475">
        <f t="shared" si="26"/>
        <v>0</v>
      </c>
      <c r="AE20" s="475">
        <f t="shared" si="27"/>
        <v>0</v>
      </c>
      <c r="AF20" s="476">
        <f t="shared" si="28"/>
        <v>0</v>
      </c>
      <c r="AG20" s="475">
        <f t="shared" si="29"/>
        <v>0</v>
      </c>
      <c r="AH20" s="476">
        <f t="shared" si="30"/>
        <v>0</v>
      </c>
      <c r="AI20" s="475">
        <f t="shared" si="31"/>
        <v>0</v>
      </c>
      <c r="AJ20" s="477">
        <f>IF((D20&lt;&gt;""),VLOOKUP(D20,Données!$E$36:$H$59,4,FALSE),)</f>
        <v>0</v>
      </c>
      <c r="AK20" s="477">
        <f t="shared" si="0"/>
        <v>0</v>
      </c>
      <c r="AL20" s="478">
        <f t="shared" si="17"/>
        <v>0</v>
      </c>
      <c r="AM20" s="479">
        <f t="shared" si="1"/>
        <v>0</v>
      </c>
      <c r="AN20" s="480">
        <f t="shared" si="18"/>
        <v>0</v>
      </c>
      <c r="AO20" s="477">
        <f t="shared" si="19"/>
        <v>0</v>
      </c>
      <c r="AP20" s="481">
        <f t="shared" si="2"/>
        <v>0</v>
      </c>
      <c r="AQ20" s="481">
        <f t="shared" si="3"/>
        <v>0</v>
      </c>
      <c r="AR20" s="481">
        <f t="shared" si="4"/>
        <v>0</v>
      </c>
      <c r="AS20" s="481">
        <f t="shared" si="5"/>
        <v>0</v>
      </c>
      <c r="AT20" s="479">
        <f t="shared" si="20"/>
        <v>0</v>
      </c>
      <c r="AU20" s="479">
        <f t="shared" si="21"/>
        <v>0</v>
      </c>
      <c r="AV20" s="470">
        <f>IF(Données!$H$8="x",AW20,AX20)</f>
        <v>3.1666666666666661</v>
      </c>
      <c r="AW20" s="470">
        <f t="shared" si="6"/>
        <v>1.583333333333333</v>
      </c>
      <c r="AX20" s="471">
        <f>IF(D20="L",AX19,(AX19+"07:36"))</f>
        <v>3.1666666666666661</v>
      </c>
      <c r="AY20" s="467" t="str">
        <f t="shared" si="22"/>
        <v>Ve</v>
      </c>
      <c r="AZ20" s="7">
        <f>IF((S40="M3.2")*AND(S41&lt;&gt;""),VLOOKUP(S41,Échelle!$BD$5:$BE$31,2),)</f>
        <v>0</v>
      </c>
      <c r="BA20" s="4" t="s">
        <v>13</v>
      </c>
      <c r="BB20" s="148"/>
      <c r="BC20" s="2"/>
    </row>
    <row r="21" spans="2:55" x14ac:dyDescent="0.2">
      <c r="B21" s="403" t="s">
        <v>184</v>
      </c>
      <c r="C21" s="412" t="s">
        <v>197</v>
      </c>
      <c r="D21" s="411"/>
      <c r="E21" s="411"/>
      <c r="F21" s="401"/>
      <c r="G21" s="401"/>
      <c r="H21" s="401"/>
      <c r="I21" s="401"/>
      <c r="J21" s="401"/>
      <c r="K21" s="401"/>
      <c r="L21" s="402">
        <f>(G21-F21)+(I21-H21)+(K21-J21)</f>
        <v>0</v>
      </c>
      <c r="M21" s="402">
        <f t="shared" si="32"/>
        <v>0</v>
      </c>
      <c r="N21" s="402">
        <f t="shared" si="7"/>
        <v>3.1666666666666661</v>
      </c>
      <c r="O21" s="419" t="str">
        <f t="shared" si="8"/>
        <v>-</v>
      </c>
      <c r="P21" s="413">
        <f t="shared" si="9"/>
        <v>3.1666666666666661</v>
      </c>
      <c r="Q21" s="410">
        <f t="shared" si="10"/>
        <v>0</v>
      </c>
      <c r="R21" s="410">
        <f t="shared" si="11"/>
        <v>0</v>
      </c>
      <c r="S21" s="410">
        <f t="shared" si="12"/>
        <v>0</v>
      </c>
      <c r="T21" s="410">
        <f t="shared" si="13"/>
        <v>0</v>
      </c>
      <c r="U21" s="402">
        <f t="shared" si="14"/>
        <v>0</v>
      </c>
      <c r="V21" s="402">
        <f>L21</f>
        <v>0</v>
      </c>
      <c r="W21" s="402">
        <f t="shared" si="15"/>
        <v>0</v>
      </c>
      <c r="X21" s="402">
        <f t="shared" si="16"/>
        <v>0</v>
      </c>
      <c r="Y21" s="401"/>
      <c r="Z21" s="401"/>
      <c r="AA21" s="411"/>
      <c r="AB21" s="420">
        <f t="shared" si="24"/>
        <v>0</v>
      </c>
      <c r="AC21" s="420">
        <f t="shared" si="25"/>
        <v>0</v>
      </c>
      <c r="AD21" s="420">
        <f t="shared" si="26"/>
        <v>0</v>
      </c>
      <c r="AE21" s="420">
        <f t="shared" si="27"/>
        <v>0</v>
      </c>
      <c r="AF21" s="421">
        <f t="shared" si="28"/>
        <v>0</v>
      </c>
      <c r="AG21" s="420">
        <f t="shared" si="29"/>
        <v>0</v>
      </c>
      <c r="AH21" s="421">
        <f t="shared" si="30"/>
        <v>0</v>
      </c>
      <c r="AI21" s="420">
        <f t="shared" si="31"/>
        <v>0</v>
      </c>
      <c r="AJ21" s="422">
        <f>IF((D21&lt;&gt;""),VLOOKUP(D21,Données!$E$36:$H$59,4,FALSE),)</f>
        <v>0</v>
      </c>
      <c r="AK21" s="422">
        <f t="shared" si="0"/>
        <v>0</v>
      </c>
      <c r="AL21" s="423">
        <f t="shared" si="17"/>
        <v>0</v>
      </c>
      <c r="AM21" s="424">
        <f t="shared" si="1"/>
        <v>0</v>
      </c>
      <c r="AN21" s="425">
        <f t="shared" si="18"/>
        <v>0</v>
      </c>
      <c r="AO21" s="422">
        <f t="shared" si="19"/>
        <v>0</v>
      </c>
      <c r="AP21" s="426">
        <f t="shared" si="2"/>
        <v>0</v>
      </c>
      <c r="AQ21" s="426">
        <f t="shared" si="3"/>
        <v>0</v>
      </c>
      <c r="AR21" s="426">
        <f t="shared" si="4"/>
        <v>0</v>
      </c>
      <c r="AS21" s="426">
        <f t="shared" si="5"/>
        <v>0</v>
      </c>
      <c r="AT21" s="424">
        <f t="shared" si="20"/>
        <v>0</v>
      </c>
      <c r="AU21" s="424">
        <f t="shared" si="21"/>
        <v>0</v>
      </c>
      <c r="AV21" s="401">
        <f>IF(Données!$H$8="x",AW21,AX21)</f>
        <v>3.1666666666666661</v>
      </c>
      <c r="AW21" s="401">
        <f t="shared" si="6"/>
        <v>1.583333333333333</v>
      </c>
      <c r="AX21" s="402">
        <f>AX20</f>
        <v>3.1666666666666661</v>
      </c>
      <c r="AY21" s="403" t="str">
        <f t="shared" si="22"/>
        <v>Sa</v>
      </c>
      <c r="AZ21" s="7">
        <f>IF((S40="M4.1")*AND(S41&lt;&gt;""),VLOOKUP(S41,Échelle!$BJ$39:$BK$68,2),)</f>
        <v>0</v>
      </c>
      <c r="BA21" s="4" t="s">
        <v>14</v>
      </c>
      <c r="BB21" s="148"/>
      <c r="BC21" s="2"/>
    </row>
    <row r="22" spans="2:55" x14ac:dyDescent="0.2">
      <c r="B22" s="403" t="s">
        <v>186</v>
      </c>
      <c r="C22" s="412" t="s">
        <v>198</v>
      </c>
      <c r="D22" s="411"/>
      <c r="E22" s="411"/>
      <c r="F22" s="401"/>
      <c r="G22" s="401"/>
      <c r="H22" s="401"/>
      <c r="I22" s="401"/>
      <c r="J22" s="401"/>
      <c r="K22" s="401"/>
      <c r="L22" s="402">
        <f>(G22-F22)+(I22-H22)+(K22-J22)</f>
        <v>0</v>
      </c>
      <c r="M22" s="402">
        <f>M21+L22</f>
        <v>0</v>
      </c>
      <c r="N22" s="402">
        <f t="shared" si="7"/>
        <v>3.1666666666666661</v>
      </c>
      <c r="O22" s="419" t="str">
        <f t="shared" si="8"/>
        <v>-</v>
      </c>
      <c r="P22" s="413">
        <f t="shared" si="9"/>
        <v>3.1666666666666661</v>
      </c>
      <c r="Q22" s="410">
        <f t="shared" si="10"/>
        <v>0</v>
      </c>
      <c r="R22" s="410">
        <f t="shared" si="11"/>
        <v>0</v>
      </c>
      <c r="S22" s="410">
        <f t="shared" si="12"/>
        <v>0</v>
      </c>
      <c r="T22" s="410">
        <f t="shared" si="13"/>
        <v>0</v>
      </c>
      <c r="U22" s="402">
        <f t="shared" si="14"/>
        <v>0</v>
      </c>
      <c r="V22" s="402">
        <f>L22</f>
        <v>0</v>
      </c>
      <c r="W22" s="402">
        <f t="shared" si="15"/>
        <v>0</v>
      </c>
      <c r="X22" s="402">
        <f t="shared" si="16"/>
        <v>0</v>
      </c>
      <c r="Y22" s="401"/>
      <c r="Z22" s="401"/>
      <c r="AA22" s="411"/>
      <c r="AB22" s="420">
        <f t="shared" si="24"/>
        <v>0</v>
      </c>
      <c r="AC22" s="420">
        <f t="shared" si="25"/>
        <v>0</v>
      </c>
      <c r="AD22" s="420">
        <f t="shared" si="26"/>
        <v>0</v>
      </c>
      <c r="AE22" s="420">
        <f t="shared" si="27"/>
        <v>0</v>
      </c>
      <c r="AF22" s="421">
        <f t="shared" si="28"/>
        <v>0</v>
      </c>
      <c r="AG22" s="420">
        <f t="shared" si="29"/>
        <v>0</v>
      </c>
      <c r="AH22" s="421">
        <f t="shared" si="30"/>
        <v>0</v>
      </c>
      <c r="AI22" s="420">
        <f t="shared" si="31"/>
        <v>0</v>
      </c>
      <c r="AJ22" s="422">
        <f>IF((D22&lt;&gt;""),VLOOKUP(D22,Données!$E$36:$H$59,4,FALSE),)</f>
        <v>0</v>
      </c>
      <c r="AK22" s="422">
        <f t="shared" si="0"/>
        <v>0</v>
      </c>
      <c r="AL22" s="423">
        <f t="shared" si="17"/>
        <v>0</v>
      </c>
      <c r="AM22" s="424">
        <f t="shared" si="1"/>
        <v>0</v>
      </c>
      <c r="AN22" s="425">
        <f t="shared" si="18"/>
        <v>0</v>
      </c>
      <c r="AO22" s="422">
        <f t="shared" si="19"/>
        <v>0</v>
      </c>
      <c r="AP22" s="426">
        <f t="shared" si="2"/>
        <v>0</v>
      </c>
      <c r="AQ22" s="426">
        <f t="shared" si="3"/>
        <v>0</v>
      </c>
      <c r="AR22" s="426">
        <f t="shared" si="4"/>
        <v>0</v>
      </c>
      <c r="AS22" s="426">
        <f t="shared" si="5"/>
        <v>0</v>
      </c>
      <c r="AT22" s="424">
        <f t="shared" si="20"/>
        <v>0</v>
      </c>
      <c r="AU22" s="424">
        <f t="shared" si="21"/>
        <v>0</v>
      </c>
      <c r="AV22" s="401">
        <f>IF(Données!$H$8="x",AW22,AX22)</f>
        <v>3.1666666666666661</v>
      </c>
      <c r="AW22" s="402">
        <f t="shared" si="6"/>
        <v>1.583333333333333</v>
      </c>
      <c r="AX22" s="402">
        <f>AX21</f>
        <v>3.1666666666666661</v>
      </c>
      <c r="AY22" s="403" t="str">
        <f t="shared" si="22"/>
        <v>Di</v>
      </c>
      <c r="AZ22" s="7">
        <f>IF((S40="M4.2")*AND(S41&lt;&gt;""),VLOOKUP(S41,Échelle!$BJ$5:$BK$31,2),)</f>
        <v>0</v>
      </c>
      <c r="BA22" s="4" t="s">
        <v>15</v>
      </c>
      <c r="BB22" s="148"/>
      <c r="BC22" s="2"/>
    </row>
    <row r="23" spans="2:55" x14ac:dyDescent="0.2">
      <c r="B23" s="467" t="s">
        <v>188</v>
      </c>
      <c r="C23" s="468" t="s">
        <v>199</v>
      </c>
      <c r="D23" s="469"/>
      <c r="E23" s="469"/>
      <c r="F23" s="470"/>
      <c r="G23" s="470"/>
      <c r="H23" s="470"/>
      <c r="I23" s="470"/>
      <c r="J23" s="470"/>
      <c r="K23" s="470"/>
      <c r="L23" s="471">
        <f>(G23-F23)+(I23-H23)+(K23-J23)+AJ23+AO23</f>
        <v>0</v>
      </c>
      <c r="M23" s="471">
        <f t="shared" ref="M23:M28" si="33">M22+L23</f>
        <v>0</v>
      </c>
      <c r="N23" s="471">
        <f t="shared" si="7"/>
        <v>3.4833333333333325</v>
      </c>
      <c r="O23" s="472" t="str">
        <f t="shared" si="8"/>
        <v>-</v>
      </c>
      <c r="P23" s="473">
        <f t="shared" si="9"/>
        <v>3.4833333333333325</v>
      </c>
      <c r="Q23" s="474">
        <f t="shared" si="10"/>
        <v>0</v>
      </c>
      <c r="R23" s="474">
        <f t="shared" si="11"/>
        <v>0</v>
      </c>
      <c r="S23" s="474">
        <f t="shared" si="12"/>
        <v>0</v>
      </c>
      <c r="T23" s="474">
        <f t="shared" si="13"/>
        <v>0</v>
      </c>
      <c r="U23" s="471">
        <f t="shared" si="14"/>
        <v>0</v>
      </c>
      <c r="V23" s="471">
        <f>IF(D23="F",L23,0)</f>
        <v>0</v>
      </c>
      <c r="W23" s="471">
        <f t="shared" si="15"/>
        <v>0</v>
      </c>
      <c r="X23" s="471">
        <f t="shared" si="16"/>
        <v>0</v>
      </c>
      <c r="Y23" s="470"/>
      <c r="Z23" s="470"/>
      <c r="AA23" s="469"/>
      <c r="AB23" s="475">
        <f t="shared" si="24"/>
        <v>0</v>
      </c>
      <c r="AC23" s="475">
        <f t="shared" si="25"/>
        <v>0</v>
      </c>
      <c r="AD23" s="475">
        <f t="shared" si="26"/>
        <v>0</v>
      </c>
      <c r="AE23" s="475">
        <f t="shared" si="27"/>
        <v>0</v>
      </c>
      <c r="AF23" s="476">
        <f t="shared" si="28"/>
        <v>0</v>
      </c>
      <c r="AG23" s="475">
        <f t="shared" si="29"/>
        <v>0</v>
      </c>
      <c r="AH23" s="476">
        <f t="shared" si="30"/>
        <v>0</v>
      </c>
      <c r="AI23" s="475">
        <f t="shared" si="31"/>
        <v>0</v>
      </c>
      <c r="AJ23" s="477">
        <f>IF((D23&lt;&gt;""),VLOOKUP(D23,Données!$E$36:$H$59,4,FALSE),)</f>
        <v>0</v>
      </c>
      <c r="AK23" s="477">
        <f t="shared" si="0"/>
        <v>0</v>
      </c>
      <c r="AL23" s="478">
        <f t="shared" si="17"/>
        <v>0</v>
      </c>
      <c r="AM23" s="479">
        <f t="shared" si="1"/>
        <v>0</v>
      </c>
      <c r="AN23" s="480">
        <f t="shared" si="18"/>
        <v>0</v>
      </c>
      <c r="AO23" s="477">
        <f t="shared" si="19"/>
        <v>0</v>
      </c>
      <c r="AP23" s="481">
        <f t="shared" si="2"/>
        <v>0</v>
      </c>
      <c r="AQ23" s="481">
        <f t="shared" si="3"/>
        <v>0</v>
      </c>
      <c r="AR23" s="481">
        <f t="shared" si="4"/>
        <v>0</v>
      </c>
      <c r="AS23" s="481">
        <f t="shared" si="5"/>
        <v>0</v>
      </c>
      <c r="AT23" s="479">
        <f t="shared" si="20"/>
        <v>0</v>
      </c>
      <c r="AU23" s="479">
        <f t="shared" si="21"/>
        <v>0</v>
      </c>
      <c r="AV23" s="470">
        <f>IF(Données!$H$8="x",AW23,AX23)</f>
        <v>3.4833333333333325</v>
      </c>
      <c r="AW23" s="471">
        <f t="shared" si="6"/>
        <v>1.7416666666666663</v>
      </c>
      <c r="AX23" s="471">
        <f>IF(D23="L",AX22,(AX22+"07:36"))</f>
        <v>3.4833333333333325</v>
      </c>
      <c r="AY23" s="467" t="str">
        <f t="shared" si="22"/>
        <v>Lu</v>
      </c>
      <c r="AZ23" s="7">
        <f>IF((S40="M5.1")*AND(S41&lt;&gt;""),VLOOKUP(S41,Échelle!$BM$5:$BN$31,2),)</f>
        <v>0</v>
      </c>
      <c r="BA23" s="4" t="s">
        <v>16</v>
      </c>
      <c r="BB23" s="148"/>
      <c r="BC23" s="2"/>
    </row>
    <row r="24" spans="2:55" x14ac:dyDescent="0.2">
      <c r="B24" s="467" t="s">
        <v>176</v>
      </c>
      <c r="C24" s="468" t="s">
        <v>200</v>
      </c>
      <c r="D24" s="469"/>
      <c r="E24" s="469"/>
      <c r="F24" s="470"/>
      <c r="G24" s="470"/>
      <c r="H24" s="470"/>
      <c r="I24" s="470"/>
      <c r="J24" s="482"/>
      <c r="K24" s="482"/>
      <c r="L24" s="471">
        <f>(G24-F24)+(I24-H24)+(K24-J24)+AJ24+AO24</f>
        <v>0</v>
      </c>
      <c r="M24" s="471">
        <f t="shared" si="33"/>
        <v>0</v>
      </c>
      <c r="N24" s="471">
        <f t="shared" si="7"/>
        <v>3.7999999999999989</v>
      </c>
      <c r="O24" s="472" t="str">
        <f t="shared" si="8"/>
        <v>-</v>
      </c>
      <c r="P24" s="473">
        <f t="shared" si="9"/>
        <v>3.7999999999999989</v>
      </c>
      <c r="Q24" s="474">
        <f t="shared" si="10"/>
        <v>0</v>
      </c>
      <c r="R24" s="474">
        <f t="shared" si="11"/>
        <v>0</v>
      </c>
      <c r="S24" s="474">
        <f t="shared" si="12"/>
        <v>0</v>
      </c>
      <c r="T24" s="474">
        <f t="shared" si="13"/>
        <v>0</v>
      </c>
      <c r="U24" s="471">
        <f t="shared" si="14"/>
        <v>0</v>
      </c>
      <c r="V24" s="471">
        <f>IF(D24="F",L24,0)</f>
        <v>0</v>
      </c>
      <c r="W24" s="471">
        <f t="shared" si="15"/>
        <v>0</v>
      </c>
      <c r="X24" s="471">
        <f t="shared" si="16"/>
        <v>0</v>
      </c>
      <c r="Y24" s="470"/>
      <c r="Z24" s="470"/>
      <c r="AA24" s="469"/>
      <c r="AB24" s="475">
        <f t="shared" si="24"/>
        <v>0</v>
      </c>
      <c r="AC24" s="475">
        <f t="shared" si="25"/>
        <v>0</v>
      </c>
      <c r="AD24" s="475">
        <f t="shared" si="26"/>
        <v>0</v>
      </c>
      <c r="AE24" s="475">
        <f t="shared" si="27"/>
        <v>0</v>
      </c>
      <c r="AF24" s="476">
        <f t="shared" si="28"/>
        <v>0</v>
      </c>
      <c r="AG24" s="475">
        <f t="shared" si="29"/>
        <v>0</v>
      </c>
      <c r="AH24" s="476">
        <f t="shared" si="30"/>
        <v>0</v>
      </c>
      <c r="AI24" s="475">
        <f t="shared" si="31"/>
        <v>0</v>
      </c>
      <c r="AJ24" s="477">
        <f>IF((D24&lt;&gt;""),VLOOKUP(D24,Données!$E$36:$H$59,4,FALSE),)</f>
        <v>0</v>
      </c>
      <c r="AK24" s="477">
        <f t="shared" si="0"/>
        <v>0</v>
      </c>
      <c r="AL24" s="478">
        <f t="shared" si="17"/>
        <v>0</v>
      </c>
      <c r="AM24" s="479">
        <f t="shared" si="1"/>
        <v>0</v>
      </c>
      <c r="AN24" s="480">
        <f t="shared" si="18"/>
        <v>0</v>
      </c>
      <c r="AO24" s="477">
        <f t="shared" si="19"/>
        <v>0</v>
      </c>
      <c r="AP24" s="481">
        <f t="shared" si="2"/>
        <v>0</v>
      </c>
      <c r="AQ24" s="481">
        <f t="shared" si="3"/>
        <v>0</v>
      </c>
      <c r="AR24" s="481">
        <f t="shared" si="4"/>
        <v>0</v>
      </c>
      <c r="AS24" s="481">
        <f t="shared" si="5"/>
        <v>0</v>
      </c>
      <c r="AT24" s="479">
        <f t="shared" si="20"/>
        <v>0</v>
      </c>
      <c r="AU24" s="479">
        <f t="shared" si="21"/>
        <v>0</v>
      </c>
      <c r="AV24" s="470">
        <f>IF(Données!$H$8="x",AW24,AX24)</f>
        <v>3.7999999999999989</v>
      </c>
      <c r="AW24" s="471">
        <f t="shared" si="6"/>
        <v>1.8999999999999995</v>
      </c>
      <c r="AX24" s="471">
        <f>IF(D24="L",AX23,(AX23+"07:36"))</f>
        <v>3.7999999999999989</v>
      </c>
      <c r="AY24" s="467" t="str">
        <f t="shared" si="22"/>
        <v>Ma</v>
      </c>
      <c r="AZ24" s="7">
        <f>IF((S40="M5.2")*AND(S41&lt;&gt;""),VLOOKUP(S41,Échelle!$BP$5:$BQ$31,2),)</f>
        <v>0</v>
      </c>
      <c r="BA24" s="4" t="s">
        <v>17</v>
      </c>
      <c r="BB24" s="148"/>
      <c r="BC24" s="2"/>
    </row>
    <row r="25" spans="2:55" x14ac:dyDescent="0.2">
      <c r="B25" s="467" t="s">
        <v>178</v>
      </c>
      <c r="C25" s="468" t="s">
        <v>201</v>
      </c>
      <c r="D25" s="469"/>
      <c r="E25" s="469"/>
      <c r="F25" s="470"/>
      <c r="G25" s="470"/>
      <c r="H25" s="470"/>
      <c r="I25" s="470"/>
      <c r="J25" s="482"/>
      <c r="K25" s="482"/>
      <c r="L25" s="471">
        <f>(G25-F25)+(I25-H25)+(K25-J25)+AJ25+AO25</f>
        <v>0</v>
      </c>
      <c r="M25" s="471">
        <f t="shared" si="33"/>
        <v>0</v>
      </c>
      <c r="N25" s="471">
        <f t="shared" si="7"/>
        <v>4.1166666666666654</v>
      </c>
      <c r="O25" s="472" t="str">
        <f t="shared" si="8"/>
        <v>-</v>
      </c>
      <c r="P25" s="473">
        <f t="shared" si="9"/>
        <v>4.1166666666666654</v>
      </c>
      <c r="Q25" s="474">
        <f t="shared" si="10"/>
        <v>0</v>
      </c>
      <c r="R25" s="474">
        <f t="shared" si="11"/>
        <v>0</v>
      </c>
      <c r="S25" s="474">
        <f t="shared" si="12"/>
        <v>0</v>
      </c>
      <c r="T25" s="474">
        <f t="shared" si="13"/>
        <v>0</v>
      </c>
      <c r="U25" s="471">
        <f t="shared" si="14"/>
        <v>0</v>
      </c>
      <c r="V25" s="471">
        <f>IF(D25="F",L25,0)</f>
        <v>0</v>
      </c>
      <c r="W25" s="471">
        <f t="shared" si="15"/>
        <v>0</v>
      </c>
      <c r="X25" s="471">
        <f t="shared" si="16"/>
        <v>0</v>
      </c>
      <c r="Y25" s="470"/>
      <c r="Z25" s="470"/>
      <c r="AA25" s="469"/>
      <c r="AB25" s="475">
        <f t="shared" si="24"/>
        <v>0</v>
      </c>
      <c r="AC25" s="475">
        <f t="shared" si="25"/>
        <v>0</v>
      </c>
      <c r="AD25" s="475">
        <f t="shared" si="26"/>
        <v>0</v>
      </c>
      <c r="AE25" s="475">
        <f t="shared" si="27"/>
        <v>0</v>
      </c>
      <c r="AF25" s="476">
        <f t="shared" si="28"/>
        <v>0</v>
      </c>
      <c r="AG25" s="475">
        <f t="shared" si="29"/>
        <v>0</v>
      </c>
      <c r="AH25" s="476">
        <f t="shared" si="30"/>
        <v>0</v>
      </c>
      <c r="AI25" s="475">
        <f t="shared" si="31"/>
        <v>0</v>
      </c>
      <c r="AJ25" s="477">
        <f>IF((D25&lt;&gt;""),VLOOKUP(D25,Données!$E$36:$H$59,4,FALSE),)</f>
        <v>0</v>
      </c>
      <c r="AK25" s="477">
        <f t="shared" si="0"/>
        <v>0</v>
      </c>
      <c r="AL25" s="478">
        <f t="shared" si="17"/>
        <v>0</v>
      </c>
      <c r="AM25" s="479">
        <f t="shared" si="1"/>
        <v>0</v>
      </c>
      <c r="AN25" s="480">
        <f t="shared" si="18"/>
        <v>0</v>
      </c>
      <c r="AO25" s="477">
        <f t="shared" si="19"/>
        <v>0</v>
      </c>
      <c r="AP25" s="481">
        <f t="shared" si="2"/>
        <v>0</v>
      </c>
      <c r="AQ25" s="481">
        <f t="shared" si="3"/>
        <v>0</v>
      </c>
      <c r="AR25" s="481">
        <f t="shared" si="4"/>
        <v>0</v>
      </c>
      <c r="AS25" s="481">
        <f t="shared" si="5"/>
        <v>0</v>
      </c>
      <c r="AT25" s="479">
        <f t="shared" si="20"/>
        <v>0</v>
      </c>
      <c r="AU25" s="479">
        <f t="shared" si="21"/>
        <v>0</v>
      </c>
      <c r="AV25" s="470">
        <f>IF(Données!$H$8="x",AW25,AX25)</f>
        <v>4.1166666666666654</v>
      </c>
      <c r="AW25" s="471">
        <f t="shared" si="6"/>
        <v>2.0583333333333327</v>
      </c>
      <c r="AX25" s="471">
        <f>IF(D25="L",AX24,(AX24+"07:36"))</f>
        <v>4.1166666666666654</v>
      </c>
      <c r="AY25" s="467" t="str">
        <f t="shared" si="22"/>
        <v>Me</v>
      </c>
      <c r="AZ25" s="7">
        <f>IF((S40="M6")*AND(S41&lt;&gt;""),VLOOKUP(S41,Échelle!$BS$5:$BT$31,2),)</f>
        <v>0</v>
      </c>
      <c r="BA25" s="4" t="s">
        <v>18</v>
      </c>
      <c r="BB25" s="148"/>
      <c r="BC25" s="2"/>
    </row>
    <row r="26" spans="2:55" x14ac:dyDescent="0.2">
      <c r="B26" s="467" t="s">
        <v>180</v>
      </c>
      <c r="C26" s="468" t="s">
        <v>202</v>
      </c>
      <c r="D26" s="469"/>
      <c r="E26" s="469"/>
      <c r="F26" s="470"/>
      <c r="G26" s="470"/>
      <c r="H26" s="470"/>
      <c r="I26" s="470"/>
      <c r="J26" s="482"/>
      <c r="K26" s="482"/>
      <c r="L26" s="471">
        <f>(G26-F26)+(I26-H26)+(K26-J26)+AJ26+AO26</f>
        <v>0</v>
      </c>
      <c r="M26" s="471">
        <f t="shared" si="33"/>
        <v>0</v>
      </c>
      <c r="N26" s="471">
        <f t="shared" si="7"/>
        <v>4.4333333333333318</v>
      </c>
      <c r="O26" s="472" t="str">
        <f t="shared" si="8"/>
        <v>-</v>
      </c>
      <c r="P26" s="473">
        <f t="shared" si="9"/>
        <v>4.4333333333333318</v>
      </c>
      <c r="Q26" s="474">
        <f t="shared" si="10"/>
        <v>0</v>
      </c>
      <c r="R26" s="474">
        <f t="shared" si="11"/>
        <v>0</v>
      </c>
      <c r="S26" s="474">
        <f t="shared" si="12"/>
        <v>0</v>
      </c>
      <c r="T26" s="474">
        <f t="shared" si="13"/>
        <v>0</v>
      </c>
      <c r="U26" s="471">
        <f t="shared" si="14"/>
        <v>0</v>
      </c>
      <c r="V26" s="471">
        <f>IF(D26="F",L26,0)</f>
        <v>0</v>
      </c>
      <c r="W26" s="471">
        <f t="shared" si="15"/>
        <v>0</v>
      </c>
      <c r="X26" s="471">
        <f t="shared" si="16"/>
        <v>0</v>
      </c>
      <c r="Y26" s="470"/>
      <c r="Z26" s="470"/>
      <c r="AA26" s="469"/>
      <c r="AB26" s="475">
        <f t="shared" si="24"/>
        <v>0</v>
      </c>
      <c r="AC26" s="475">
        <f t="shared" si="25"/>
        <v>0</v>
      </c>
      <c r="AD26" s="475">
        <f t="shared" si="26"/>
        <v>0</v>
      </c>
      <c r="AE26" s="475">
        <f t="shared" si="27"/>
        <v>0</v>
      </c>
      <c r="AF26" s="476">
        <f t="shared" si="28"/>
        <v>0</v>
      </c>
      <c r="AG26" s="475">
        <f t="shared" si="29"/>
        <v>0</v>
      </c>
      <c r="AH26" s="476">
        <f t="shared" si="30"/>
        <v>0</v>
      </c>
      <c r="AI26" s="475">
        <f t="shared" si="31"/>
        <v>0</v>
      </c>
      <c r="AJ26" s="477">
        <f>IF((D26&lt;&gt;""),VLOOKUP(D26,Données!$E$36:$H$59,4,FALSE),)</f>
        <v>0</v>
      </c>
      <c r="AK26" s="477">
        <f t="shared" si="0"/>
        <v>0</v>
      </c>
      <c r="AL26" s="478">
        <f t="shared" si="17"/>
        <v>0</v>
      </c>
      <c r="AM26" s="479">
        <f t="shared" si="1"/>
        <v>0</v>
      </c>
      <c r="AN26" s="480">
        <f t="shared" si="18"/>
        <v>0</v>
      </c>
      <c r="AO26" s="477">
        <f t="shared" si="19"/>
        <v>0</v>
      </c>
      <c r="AP26" s="481">
        <f t="shared" si="2"/>
        <v>0</v>
      </c>
      <c r="AQ26" s="481">
        <f t="shared" si="3"/>
        <v>0</v>
      </c>
      <c r="AR26" s="481">
        <f t="shared" si="4"/>
        <v>0</v>
      </c>
      <c r="AS26" s="481">
        <f t="shared" si="5"/>
        <v>0</v>
      </c>
      <c r="AT26" s="479">
        <f t="shared" si="20"/>
        <v>0</v>
      </c>
      <c r="AU26" s="479">
        <f t="shared" si="21"/>
        <v>0</v>
      </c>
      <c r="AV26" s="470">
        <f>IF(Données!$H$8="x",AW26,AX26)</f>
        <v>4.4333333333333318</v>
      </c>
      <c r="AW26" s="471">
        <f t="shared" si="6"/>
        <v>2.2166666666666659</v>
      </c>
      <c r="AX26" s="471">
        <f>IF(D26="L",AX25,(AX25+"07:36"))</f>
        <v>4.4333333333333318</v>
      </c>
      <c r="AY26" s="467" t="str">
        <f t="shared" si="22"/>
        <v>Je</v>
      </c>
      <c r="AZ26" s="7">
        <f>IF((S40="M7")*AND(S41&lt;&gt;""),VLOOKUP(S41,Échelle!$BV$5:$BW$31,2),)</f>
        <v>0</v>
      </c>
      <c r="BA26" s="4" t="s">
        <v>19</v>
      </c>
      <c r="BB26" s="148"/>
      <c r="BC26" s="2"/>
    </row>
    <row r="27" spans="2:55" x14ac:dyDescent="0.2">
      <c r="B27" s="467" t="s">
        <v>182</v>
      </c>
      <c r="C27" s="468" t="s">
        <v>203</v>
      </c>
      <c r="D27" s="469"/>
      <c r="E27" s="469"/>
      <c r="F27" s="470"/>
      <c r="G27" s="470"/>
      <c r="H27" s="470"/>
      <c r="I27" s="470"/>
      <c r="J27" s="470"/>
      <c r="K27" s="470"/>
      <c r="L27" s="471">
        <f>(G27-F27)+(I27-H27)+(K27-J27)+AJ27+AO27</f>
        <v>0</v>
      </c>
      <c r="M27" s="471">
        <f t="shared" si="33"/>
        <v>0</v>
      </c>
      <c r="N27" s="471">
        <f t="shared" si="7"/>
        <v>4.7499999999999982</v>
      </c>
      <c r="O27" s="472" t="str">
        <f t="shared" si="8"/>
        <v>-</v>
      </c>
      <c r="P27" s="473">
        <f t="shared" si="9"/>
        <v>4.7499999999999982</v>
      </c>
      <c r="Q27" s="474">
        <f t="shared" si="10"/>
        <v>0</v>
      </c>
      <c r="R27" s="474">
        <f t="shared" si="11"/>
        <v>0</v>
      </c>
      <c r="S27" s="474">
        <f t="shared" si="12"/>
        <v>0</v>
      </c>
      <c r="T27" s="474">
        <f t="shared" si="13"/>
        <v>0</v>
      </c>
      <c r="U27" s="471">
        <f t="shared" si="14"/>
        <v>0</v>
      </c>
      <c r="V27" s="471">
        <f>IF(D27="F",L27,0)</f>
        <v>0</v>
      </c>
      <c r="W27" s="471">
        <f t="shared" si="15"/>
        <v>0</v>
      </c>
      <c r="X27" s="471">
        <f t="shared" si="16"/>
        <v>0</v>
      </c>
      <c r="Y27" s="470"/>
      <c r="Z27" s="470"/>
      <c r="AA27" s="469"/>
      <c r="AB27" s="475">
        <f t="shared" si="24"/>
        <v>0</v>
      </c>
      <c r="AC27" s="475">
        <f t="shared" si="25"/>
        <v>0</v>
      </c>
      <c r="AD27" s="475">
        <f t="shared" si="26"/>
        <v>0</v>
      </c>
      <c r="AE27" s="475">
        <f t="shared" si="27"/>
        <v>0</v>
      </c>
      <c r="AF27" s="476">
        <f t="shared" si="28"/>
        <v>0</v>
      </c>
      <c r="AG27" s="475">
        <f t="shared" si="29"/>
        <v>0</v>
      </c>
      <c r="AH27" s="476">
        <f t="shared" si="30"/>
        <v>0</v>
      </c>
      <c r="AI27" s="475">
        <f t="shared" si="31"/>
        <v>0</v>
      </c>
      <c r="AJ27" s="477">
        <f>IF((D27&lt;&gt;""),VLOOKUP(D27,Données!$E$36:$H$59,4,FALSE),)</f>
        <v>0</v>
      </c>
      <c r="AK27" s="477">
        <f t="shared" si="0"/>
        <v>0</v>
      </c>
      <c r="AL27" s="478">
        <f t="shared" si="17"/>
        <v>0</v>
      </c>
      <c r="AM27" s="479">
        <f t="shared" si="1"/>
        <v>0</v>
      </c>
      <c r="AN27" s="480">
        <f t="shared" si="18"/>
        <v>0</v>
      </c>
      <c r="AO27" s="477">
        <f t="shared" si="19"/>
        <v>0</v>
      </c>
      <c r="AP27" s="481">
        <f t="shared" si="2"/>
        <v>0</v>
      </c>
      <c r="AQ27" s="481">
        <f t="shared" si="3"/>
        <v>0</v>
      </c>
      <c r="AR27" s="481">
        <f t="shared" si="4"/>
        <v>0</v>
      </c>
      <c r="AS27" s="481">
        <f t="shared" si="5"/>
        <v>0</v>
      </c>
      <c r="AT27" s="479">
        <f t="shared" si="20"/>
        <v>0</v>
      </c>
      <c r="AU27" s="479">
        <f t="shared" si="21"/>
        <v>0</v>
      </c>
      <c r="AV27" s="470">
        <f>IF(Données!$H$8="x",AW27,AX27)</f>
        <v>4.7499999999999982</v>
      </c>
      <c r="AW27" s="471">
        <f t="shared" si="6"/>
        <v>2.3749999999999991</v>
      </c>
      <c r="AX27" s="471">
        <f>IF(D27="L",AX26,(AX26+"07:36"))</f>
        <v>4.7499999999999982</v>
      </c>
      <c r="AY27" s="467" t="str">
        <f t="shared" si="22"/>
        <v>Ve</v>
      </c>
      <c r="AZ27" s="7">
        <f>IF((S40="M7bis")*AND(S41&lt;&gt;""),VLOOKUP(S41,Échelle!$BY$5:$BZ$31,2),)</f>
        <v>0</v>
      </c>
      <c r="BA27" s="4" t="s">
        <v>20</v>
      </c>
      <c r="BB27" s="148"/>
      <c r="BC27" s="2"/>
    </row>
    <row r="28" spans="2:55" x14ac:dyDescent="0.2">
      <c r="B28" s="403" t="s">
        <v>184</v>
      </c>
      <c r="C28" s="412" t="s">
        <v>204</v>
      </c>
      <c r="D28" s="411"/>
      <c r="E28" s="411"/>
      <c r="F28" s="401"/>
      <c r="G28" s="401"/>
      <c r="H28" s="401"/>
      <c r="I28" s="401"/>
      <c r="J28" s="401"/>
      <c r="K28" s="401"/>
      <c r="L28" s="402">
        <f>(G28-F28)+(I28-H28)+(K28-J28)</f>
        <v>0</v>
      </c>
      <c r="M28" s="402">
        <f t="shared" si="33"/>
        <v>0</v>
      </c>
      <c r="N28" s="402">
        <f t="shared" si="7"/>
        <v>4.7499999999999982</v>
      </c>
      <c r="O28" s="419" t="str">
        <f t="shared" si="8"/>
        <v>-</v>
      </c>
      <c r="P28" s="413">
        <f t="shared" si="9"/>
        <v>4.7499999999999982</v>
      </c>
      <c r="Q28" s="410">
        <f t="shared" si="10"/>
        <v>0</v>
      </c>
      <c r="R28" s="410">
        <f t="shared" si="11"/>
        <v>0</v>
      </c>
      <c r="S28" s="410">
        <f t="shared" si="12"/>
        <v>0</v>
      </c>
      <c r="T28" s="410">
        <f t="shared" si="13"/>
        <v>0</v>
      </c>
      <c r="U28" s="402">
        <f t="shared" si="14"/>
        <v>0</v>
      </c>
      <c r="V28" s="402">
        <f>L28</f>
        <v>0</v>
      </c>
      <c r="W28" s="402">
        <f t="shared" si="15"/>
        <v>0</v>
      </c>
      <c r="X28" s="402">
        <f t="shared" si="16"/>
        <v>0</v>
      </c>
      <c r="Y28" s="401"/>
      <c r="Z28" s="401"/>
      <c r="AA28" s="411"/>
      <c r="AB28" s="420">
        <f t="shared" si="24"/>
        <v>0</v>
      </c>
      <c r="AC28" s="420">
        <f t="shared" si="25"/>
        <v>0</v>
      </c>
      <c r="AD28" s="420">
        <f t="shared" si="26"/>
        <v>0</v>
      </c>
      <c r="AE28" s="420">
        <f t="shared" si="27"/>
        <v>0</v>
      </c>
      <c r="AF28" s="421">
        <f t="shared" si="28"/>
        <v>0</v>
      </c>
      <c r="AG28" s="420">
        <f t="shared" si="29"/>
        <v>0</v>
      </c>
      <c r="AH28" s="421">
        <f t="shared" si="30"/>
        <v>0</v>
      </c>
      <c r="AI28" s="420">
        <f t="shared" si="31"/>
        <v>0</v>
      </c>
      <c r="AJ28" s="422">
        <f>IF((D28&lt;&gt;""),VLOOKUP(D28,Données!$E$36:$H$59,4,FALSE),)</f>
        <v>0</v>
      </c>
      <c r="AK28" s="422">
        <f t="shared" si="0"/>
        <v>0</v>
      </c>
      <c r="AL28" s="423">
        <f t="shared" si="17"/>
        <v>0</v>
      </c>
      <c r="AM28" s="424">
        <f t="shared" si="1"/>
        <v>0</v>
      </c>
      <c r="AN28" s="425">
        <f t="shared" si="18"/>
        <v>0</v>
      </c>
      <c r="AO28" s="422">
        <f t="shared" si="19"/>
        <v>0</v>
      </c>
      <c r="AP28" s="426">
        <f t="shared" si="2"/>
        <v>0</v>
      </c>
      <c r="AQ28" s="426">
        <f t="shared" si="3"/>
        <v>0</v>
      </c>
      <c r="AR28" s="426">
        <f t="shared" si="4"/>
        <v>0</v>
      </c>
      <c r="AS28" s="426">
        <f t="shared" si="5"/>
        <v>0</v>
      </c>
      <c r="AT28" s="424">
        <f t="shared" si="20"/>
        <v>0</v>
      </c>
      <c r="AU28" s="424">
        <f t="shared" si="21"/>
        <v>0</v>
      </c>
      <c r="AV28" s="401">
        <f>IF(Données!$H$8="x",AW28,AX28)</f>
        <v>4.7499999999999982</v>
      </c>
      <c r="AW28" s="402">
        <f t="shared" si="6"/>
        <v>2.3749999999999991</v>
      </c>
      <c r="AX28" s="402">
        <f>AX27</f>
        <v>4.7499999999999982</v>
      </c>
      <c r="AY28" s="403" t="str">
        <f t="shared" si="22"/>
        <v>Sa</v>
      </c>
      <c r="AZ28" s="7">
        <f>IF((S40="O1")*AND(S41&lt;&gt;""),VLOOKUP(S41,Échelle!$Q$39:$R$65,2),)</f>
        <v>0</v>
      </c>
      <c r="BA28" s="4" t="s">
        <v>22</v>
      </c>
      <c r="BB28" s="148"/>
      <c r="BC28" s="2"/>
    </row>
    <row r="29" spans="2:55" x14ac:dyDescent="0.2">
      <c r="B29" s="403" t="s">
        <v>186</v>
      </c>
      <c r="C29" s="412" t="s">
        <v>205</v>
      </c>
      <c r="D29" s="411"/>
      <c r="E29" s="411"/>
      <c r="F29" s="401"/>
      <c r="G29" s="401"/>
      <c r="H29" s="401"/>
      <c r="I29" s="401"/>
      <c r="J29" s="401"/>
      <c r="K29" s="401"/>
      <c r="L29" s="402">
        <f>(G29-F29)+(I29-H29)+(K29-J29)</f>
        <v>0</v>
      </c>
      <c r="M29" s="402">
        <f>M28+L29</f>
        <v>0</v>
      </c>
      <c r="N29" s="402">
        <f t="shared" si="7"/>
        <v>4.7499999999999982</v>
      </c>
      <c r="O29" s="419" t="str">
        <f t="shared" si="8"/>
        <v>-</v>
      </c>
      <c r="P29" s="413">
        <f t="shared" si="9"/>
        <v>4.7499999999999982</v>
      </c>
      <c r="Q29" s="410">
        <f t="shared" si="10"/>
        <v>0</v>
      </c>
      <c r="R29" s="410">
        <f t="shared" si="11"/>
        <v>0</v>
      </c>
      <c r="S29" s="410">
        <f t="shared" si="12"/>
        <v>0</v>
      </c>
      <c r="T29" s="410">
        <f t="shared" si="13"/>
        <v>0</v>
      </c>
      <c r="U29" s="402">
        <f t="shared" si="14"/>
        <v>0</v>
      </c>
      <c r="V29" s="402">
        <f>L29</f>
        <v>0</v>
      </c>
      <c r="W29" s="402">
        <f t="shared" si="15"/>
        <v>0</v>
      </c>
      <c r="X29" s="402">
        <f t="shared" si="16"/>
        <v>0</v>
      </c>
      <c r="Y29" s="401"/>
      <c r="Z29" s="401"/>
      <c r="AA29" s="411"/>
      <c r="AB29" s="420">
        <f t="shared" si="24"/>
        <v>0</v>
      </c>
      <c r="AC29" s="420">
        <f t="shared" si="25"/>
        <v>0</v>
      </c>
      <c r="AD29" s="420">
        <f t="shared" si="26"/>
        <v>0</v>
      </c>
      <c r="AE29" s="420">
        <f t="shared" si="27"/>
        <v>0</v>
      </c>
      <c r="AF29" s="421">
        <f t="shared" si="28"/>
        <v>0</v>
      </c>
      <c r="AG29" s="420">
        <f t="shared" si="29"/>
        <v>0</v>
      </c>
      <c r="AH29" s="421">
        <f t="shared" si="30"/>
        <v>0</v>
      </c>
      <c r="AI29" s="420">
        <f t="shared" si="31"/>
        <v>0</v>
      </c>
      <c r="AJ29" s="422">
        <f>IF((D29&lt;&gt;""),VLOOKUP(D29,Données!$E$36:$H$59,4,FALSE),)</f>
        <v>0</v>
      </c>
      <c r="AK29" s="422">
        <f t="shared" si="0"/>
        <v>0</v>
      </c>
      <c r="AL29" s="423">
        <f t="shared" si="17"/>
        <v>0</v>
      </c>
      <c r="AM29" s="424">
        <f t="shared" si="1"/>
        <v>0</v>
      </c>
      <c r="AN29" s="425">
        <f t="shared" si="18"/>
        <v>0</v>
      </c>
      <c r="AO29" s="422">
        <f t="shared" si="19"/>
        <v>0</v>
      </c>
      <c r="AP29" s="426">
        <f t="shared" si="2"/>
        <v>0</v>
      </c>
      <c r="AQ29" s="426">
        <f t="shared" si="3"/>
        <v>0</v>
      </c>
      <c r="AR29" s="426">
        <f t="shared" si="4"/>
        <v>0</v>
      </c>
      <c r="AS29" s="426">
        <f t="shared" si="5"/>
        <v>0</v>
      </c>
      <c r="AT29" s="424">
        <f t="shared" si="20"/>
        <v>0</v>
      </c>
      <c r="AU29" s="424">
        <f t="shared" si="21"/>
        <v>0</v>
      </c>
      <c r="AV29" s="401">
        <f>IF(Données!$H$8="x",AW29,AX29)</f>
        <v>4.7499999999999982</v>
      </c>
      <c r="AW29" s="402">
        <f t="shared" si="6"/>
        <v>2.3749999999999991</v>
      </c>
      <c r="AX29" s="402">
        <f>AX28</f>
        <v>4.7499999999999982</v>
      </c>
      <c r="AY29" s="403" t="str">
        <f t="shared" si="22"/>
        <v>Di</v>
      </c>
      <c r="AZ29" s="7">
        <f>IF((S40="O2")*AND(S41&lt;&gt;""),VLOOKUP(S41,Échelle!$T$39:$U$65,2),)</f>
        <v>0</v>
      </c>
      <c r="BA29" s="4" t="s">
        <v>23</v>
      </c>
      <c r="BB29" s="148"/>
      <c r="BC29" s="2"/>
    </row>
    <row r="30" spans="2:55" x14ac:dyDescent="0.2">
      <c r="B30" s="467" t="s">
        <v>188</v>
      </c>
      <c r="C30" s="468" t="s">
        <v>206</v>
      </c>
      <c r="D30" s="469"/>
      <c r="E30" s="469"/>
      <c r="F30" s="470"/>
      <c r="G30" s="470"/>
      <c r="H30" s="470"/>
      <c r="I30" s="470"/>
      <c r="J30" s="470"/>
      <c r="K30" s="470"/>
      <c r="L30" s="471">
        <f>(G30-F30)+(I30-H30)+(K30-J30)+AJ30+AO30</f>
        <v>0</v>
      </c>
      <c r="M30" s="471">
        <f t="shared" ref="M30:M35" si="34">M29+L30</f>
        <v>0</v>
      </c>
      <c r="N30" s="471">
        <f t="shared" si="7"/>
        <v>5.0666666666666647</v>
      </c>
      <c r="O30" s="472" t="str">
        <f t="shared" si="8"/>
        <v>-</v>
      </c>
      <c r="P30" s="473">
        <f t="shared" si="9"/>
        <v>5.0666666666666647</v>
      </c>
      <c r="Q30" s="474">
        <f t="shared" si="10"/>
        <v>0</v>
      </c>
      <c r="R30" s="474">
        <f t="shared" si="11"/>
        <v>0</v>
      </c>
      <c r="S30" s="474">
        <f t="shared" si="12"/>
        <v>0</v>
      </c>
      <c r="T30" s="474">
        <f t="shared" si="13"/>
        <v>0</v>
      </c>
      <c r="U30" s="471">
        <f t="shared" si="14"/>
        <v>0</v>
      </c>
      <c r="V30" s="471">
        <f>IF(D30="F",L30,0)</f>
        <v>0</v>
      </c>
      <c r="W30" s="471">
        <f t="shared" si="15"/>
        <v>0</v>
      </c>
      <c r="X30" s="471">
        <f t="shared" si="16"/>
        <v>0</v>
      </c>
      <c r="Y30" s="470"/>
      <c r="Z30" s="470"/>
      <c r="AA30" s="469"/>
      <c r="AB30" s="475">
        <f t="shared" si="24"/>
        <v>0</v>
      </c>
      <c r="AC30" s="475">
        <f t="shared" si="25"/>
        <v>0</v>
      </c>
      <c r="AD30" s="475">
        <f t="shared" si="26"/>
        <v>0</v>
      </c>
      <c r="AE30" s="475">
        <f t="shared" si="27"/>
        <v>0</v>
      </c>
      <c r="AF30" s="476">
        <f t="shared" si="28"/>
        <v>0</v>
      </c>
      <c r="AG30" s="475">
        <f t="shared" si="29"/>
        <v>0</v>
      </c>
      <c r="AH30" s="476">
        <f t="shared" si="30"/>
        <v>0</v>
      </c>
      <c r="AI30" s="475">
        <f t="shared" si="31"/>
        <v>0</v>
      </c>
      <c r="AJ30" s="477">
        <f>IF((D30&lt;&gt;""),VLOOKUP(D30,Données!$E$36:$H$59,4,FALSE),)</f>
        <v>0</v>
      </c>
      <c r="AK30" s="477">
        <f t="shared" si="0"/>
        <v>0</v>
      </c>
      <c r="AL30" s="478">
        <f t="shared" si="17"/>
        <v>0</v>
      </c>
      <c r="AM30" s="479">
        <f t="shared" si="1"/>
        <v>0</v>
      </c>
      <c r="AN30" s="480">
        <f t="shared" si="18"/>
        <v>0</v>
      </c>
      <c r="AO30" s="477">
        <f t="shared" si="19"/>
        <v>0</v>
      </c>
      <c r="AP30" s="481">
        <f t="shared" si="2"/>
        <v>0</v>
      </c>
      <c r="AQ30" s="481">
        <f t="shared" si="3"/>
        <v>0</v>
      </c>
      <c r="AR30" s="481">
        <f t="shared" si="4"/>
        <v>0</v>
      </c>
      <c r="AS30" s="481">
        <f t="shared" si="5"/>
        <v>0</v>
      </c>
      <c r="AT30" s="479">
        <f t="shared" si="20"/>
        <v>0</v>
      </c>
      <c r="AU30" s="479">
        <f t="shared" si="21"/>
        <v>0</v>
      </c>
      <c r="AV30" s="470">
        <f>IF(Données!$H$8="x",AW30,AX30)</f>
        <v>5.0666666666666647</v>
      </c>
      <c r="AW30" s="471">
        <f t="shared" si="6"/>
        <v>2.5333333333333323</v>
      </c>
      <c r="AX30" s="471">
        <f>IF(D30="L",AX29,(AX29+"07:36"))</f>
        <v>5.0666666666666647</v>
      </c>
      <c r="AY30" s="467" t="str">
        <f t="shared" si="22"/>
        <v>Lu</v>
      </c>
      <c r="AZ30" s="7">
        <f>IF((S40="O2ir")*AND(S41&lt;&gt;""),VLOOKUP(S41,Échelle!$AR$39:$AS$65,2),)</f>
        <v>0</v>
      </c>
      <c r="BA30" s="4" t="s">
        <v>31</v>
      </c>
      <c r="BB30" s="148"/>
      <c r="BC30" s="2"/>
    </row>
    <row r="31" spans="2:55" x14ac:dyDescent="0.2">
      <c r="B31" s="467" t="s">
        <v>176</v>
      </c>
      <c r="C31" s="468" t="s">
        <v>207</v>
      </c>
      <c r="D31" s="469"/>
      <c r="E31" s="469"/>
      <c r="F31" s="470"/>
      <c r="G31" s="470"/>
      <c r="H31" s="470"/>
      <c r="I31" s="470"/>
      <c r="J31" s="482"/>
      <c r="K31" s="482"/>
      <c r="L31" s="471">
        <f>(G31-F31)+(I31-H31)+(K31-J31)+AJ31+AO31</f>
        <v>0</v>
      </c>
      <c r="M31" s="471">
        <f t="shared" si="34"/>
        <v>0</v>
      </c>
      <c r="N31" s="471">
        <f t="shared" si="7"/>
        <v>5.3833333333333311</v>
      </c>
      <c r="O31" s="472" t="str">
        <f t="shared" si="8"/>
        <v>-</v>
      </c>
      <c r="P31" s="473">
        <f t="shared" si="9"/>
        <v>5.3833333333333311</v>
      </c>
      <c r="Q31" s="474">
        <f t="shared" si="10"/>
        <v>0</v>
      </c>
      <c r="R31" s="474">
        <f t="shared" si="11"/>
        <v>0</v>
      </c>
      <c r="S31" s="474">
        <f t="shared" si="12"/>
        <v>0</v>
      </c>
      <c r="T31" s="474">
        <f t="shared" si="13"/>
        <v>0</v>
      </c>
      <c r="U31" s="471">
        <f t="shared" si="14"/>
        <v>0</v>
      </c>
      <c r="V31" s="471">
        <f>IF(D31="F",L31,0)</f>
        <v>0</v>
      </c>
      <c r="W31" s="471">
        <f t="shared" si="15"/>
        <v>0</v>
      </c>
      <c r="X31" s="471">
        <f t="shared" si="16"/>
        <v>0</v>
      </c>
      <c r="Y31" s="470"/>
      <c r="Z31" s="470"/>
      <c r="AA31" s="469"/>
      <c r="AB31" s="475">
        <f t="shared" si="24"/>
        <v>0</v>
      </c>
      <c r="AC31" s="475">
        <f t="shared" si="25"/>
        <v>0</v>
      </c>
      <c r="AD31" s="475">
        <f t="shared" si="26"/>
        <v>0</v>
      </c>
      <c r="AE31" s="475">
        <f t="shared" si="27"/>
        <v>0</v>
      </c>
      <c r="AF31" s="476">
        <f t="shared" si="28"/>
        <v>0</v>
      </c>
      <c r="AG31" s="475">
        <f t="shared" si="29"/>
        <v>0</v>
      </c>
      <c r="AH31" s="476">
        <f t="shared" si="30"/>
        <v>0</v>
      </c>
      <c r="AI31" s="475">
        <f t="shared" si="31"/>
        <v>0</v>
      </c>
      <c r="AJ31" s="477">
        <f>IF((D31&lt;&gt;""),VLOOKUP(D31,Données!$E$36:$H$59,4,FALSE),)</f>
        <v>0</v>
      </c>
      <c r="AK31" s="477">
        <f t="shared" si="0"/>
        <v>0</v>
      </c>
      <c r="AL31" s="478">
        <f t="shared" si="17"/>
        <v>0</v>
      </c>
      <c r="AM31" s="479">
        <f t="shared" si="1"/>
        <v>0</v>
      </c>
      <c r="AN31" s="480">
        <f t="shared" si="18"/>
        <v>0</v>
      </c>
      <c r="AO31" s="477">
        <f t="shared" si="19"/>
        <v>0</v>
      </c>
      <c r="AP31" s="481">
        <f t="shared" si="2"/>
        <v>0</v>
      </c>
      <c r="AQ31" s="481">
        <f t="shared" si="3"/>
        <v>0</v>
      </c>
      <c r="AR31" s="481">
        <f t="shared" si="4"/>
        <v>0</v>
      </c>
      <c r="AS31" s="481">
        <f t="shared" si="5"/>
        <v>0</v>
      </c>
      <c r="AT31" s="479">
        <f t="shared" si="20"/>
        <v>0</v>
      </c>
      <c r="AU31" s="479">
        <f t="shared" si="21"/>
        <v>0</v>
      </c>
      <c r="AV31" s="470">
        <f>IF(Données!$H$8="x",AW31,AX31)</f>
        <v>5.3833333333333311</v>
      </c>
      <c r="AW31" s="471">
        <f t="shared" si="6"/>
        <v>2.6916666666666655</v>
      </c>
      <c r="AX31" s="471">
        <f>IF(D31="L",AX30,(AX30+"07:36"))</f>
        <v>5.3833333333333311</v>
      </c>
      <c r="AY31" s="467" t="str">
        <f t="shared" si="22"/>
        <v>Ma</v>
      </c>
      <c r="AZ31" s="7">
        <f>IF((S40="O3")*AND(S41&lt;&gt;""),VLOOKUP(S41,Échelle!$W$39:$X$65,2),)</f>
        <v>0</v>
      </c>
      <c r="BA31" s="4" t="s">
        <v>24</v>
      </c>
      <c r="BB31" s="148"/>
      <c r="BC31" s="2"/>
    </row>
    <row r="32" spans="2:55" x14ac:dyDescent="0.2">
      <c r="B32" s="467" t="s">
        <v>178</v>
      </c>
      <c r="C32" s="468" t="s">
        <v>208</v>
      </c>
      <c r="D32" s="469"/>
      <c r="E32" s="469"/>
      <c r="F32" s="470"/>
      <c r="G32" s="470"/>
      <c r="H32" s="470"/>
      <c r="I32" s="470"/>
      <c r="J32" s="482"/>
      <c r="K32" s="482"/>
      <c r="L32" s="471">
        <f>(G32-F32)+(I32-H32)+(K32-J32)+AJ32+AO32</f>
        <v>0</v>
      </c>
      <c r="M32" s="471">
        <f t="shared" si="34"/>
        <v>0</v>
      </c>
      <c r="N32" s="471">
        <f t="shared" si="7"/>
        <v>5.6999999999999975</v>
      </c>
      <c r="O32" s="472" t="str">
        <f t="shared" si="8"/>
        <v>-</v>
      </c>
      <c r="P32" s="473">
        <f t="shared" si="9"/>
        <v>5.6999999999999975</v>
      </c>
      <c r="Q32" s="474">
        <f t="shared" si="10"/>
        <v>0</v>
      </c>
      <c r="R32" s="474">
        <f t="shared" si="11"/>
        <v>0</v>
      </c>
      <c r="S32" s="474">
        <f t="shared" si="12"/>
        <v>0</v>
      </c>
      <c r="T32" s="474">
        <f t="shared" si="13"/>
        <v>0</v>
      </c>
      <c r="U32" s="471">
        <f t="shared" si="14"/>
        <v>0</v>
      </c>
      <c r="V32" s="471">
        <f>IF(D32="F",L32,0)</f>
        <v>0</v>
      </c>
      <c r="W32" s="471">
        <f t="shared" si="15"/>
        <v>0</v>
      </c>
      <c r="X32" s="471">
        <f t="shared" si="16"/>
        <v>0</v>
      </c>
      <c r="Y32" s="470"/>
      <c r="Z32" s="470"/>
      <c r="AA32" s="469"/>
      <c r="AB32" s="475">
        <f t="shared" si="24"/>
        <v>0</v>
      </c>
      <c r="AC32" s="475">
        <f t="shared" si="25"/>
        <v>0</v>
      </c>
      <c r="AD32" s="475">
        <f t="shared" si="26"/>
        <v>0</v>
      </c>
      <c r="AE32" s="475">
        <f t="shared" si="27"/>
        <v>0</v>
      </c>
      <c r="AF32" s="476">
        <f t="shared" si="28"/>
        <v>0</v>
      </c>
      <c r="AG32" s="475">
        <f t="shared" si="29"/>
        <v>0</v>
      </c>
      <c r="AH32" s="476">
        <f t="shared" si="30"/>
        <v>0</v>
      </c>
      <c r="AI32" s="475">
        <f t="shared" si="31"/>
        <v>0</v>
      </c>
      <c r="AJ32" s="477">
        <f>IF((D32&lt;&gt;""),VLOOKUP(D32,Données!$E$36:$H$59,4,FALSE),)</f>
        <v>0</v>
      </c>
      <c r="AK32" s="477">
        <f t="shared" si="0"/>
        <v>0</v>
      </c>
      <c r="AL32" s="478">
        <f t="shared" si="17"/>
        <v>0</v>
      </c>
      <c r="AM32" s="479">
        <f t="shared" si="1"/>
        <v>0</v>
      </c>
      <c r="AN32" s="480">
        <f t="shared" si="18"/>
        <v>0</v>
      </c>
      <c r="AO32" s="477">
        <f t="shared" si="19"/>
        <v>0</v>
      </c>
      <c r="AP32" s="481">
        <f t="shared" si="2"/>
        <v>0</v>
      </c>
      <c r="AQ32" s="481">
        <f t="shared" si="3"/>
        <v>0</v>
      </c>
      <c r="AR32" s="481">
        <f t="shared" si="4"/>
        <v>0</v>
      </c>
      <c r="AS32" s="481">
        <f t="shared" si="5"/>
        <v>0</v>
      </c>
      <c r="AT32" s="479">
        <f t="shared" si="20"/>
        <v>0</v>
      </c>
      <c r="AU32" s="479">
        <f t="shared" si="21"/>
        <v>0</v>
      </c>
      <c r="AV32" s="470">
        <f>IF(Données!$H$8="x",AW32,AX32)</f>
        <v>5.6999999999999975</v>
      </c>
      <c r="AW32" s="471">
        <f t="shared" si="6"/>
        <v>2.8499999999999988</v>
      </c>
      <c r="AX32" s="471">
        <f>IF(D32="L",AX31,(AX31+"07:36"))</f>
        <v>5.6999999999999975</v>
      </c>
      <c r="AY32" s="467" t="str">
        <f t="shared" si="22"/>
        <v>Me</v>
      </c>
      <c r="AZ32" s="7">
        <f>IF((S40="O3ir")*AND(S41&lt;&gt;""),VLOOKUP(S41,Échelle!$AU$39:$AV$65,2),)</f>
        <v>0</v>
      </c>
      <c r="BA32" s="4" t="s">
        <v>32</v>
      </c>
      <c r="BB32" s="148"/>
      <c r="BC32" s="2"/>
    </row>
    <row r="33" spans="2:55" x14ac:dyDescent="0.2">
      <c r="B33" s="467" t="s">
        <v>180</v>
      </c>
      <c r="C33" s="468" t="s">
        <v>209</v>
      </c>
      <c r="D33" s="469"/>
      <c r="E33" s="469"/>
      <c r="F33" s="470"/>
      <c r="G33" s="470"/>
      <c r="H33" s="470"/>
      <c r="I33" s="470"/>
      <c r="J33" s="482"/>
      <c r="K33" s="482"/>
      <c r="L33" s="471">
        <f>(G33-F33)+(I33-H33)+(K33-J33)+AJ33+AO33</f>
        <v>0</v>
      </c>
      <c r="M33" s="471">
        <f t="shared" si="34"/>
        <v>0</v>
      </c>
      <c r="N33" s="471">
        <f t="shared" si="7"/>
        <v>6.0166666666666639</v>
      </c>
      <c r="O33" s="472" t="str">
        <f t="shared" si="8"/>
        <v>-</v>
      </c>
      <c r="P33" s="473">
        <f t="shared" si="9"/>
        <v>6.0166666666666639</v>
      </c>
      <c r="Q33" s="474">
        <f t="shared" si="10"/>
        <v>0</v>
      </c>
      <c r="R33" s="474">
        <f t="shared" si="11"/>
        <v>0</v>
      </c>
      <c r="S33" s="474">
        <f t="shared" si="12"/>
        <v>0</v>
      </c>
      <c r="T33" s="474">
        <f t="shared" si="13"/>
        <v>0</v>
      </c>
      <c r="U33" s="471">
        <f t="shared" si="14"/>
        <v>0</v>
      </c>
      <c r="V33" s="471">
        <f>IF(D33="F",L33,0)</f>
        <v>0</v>
      </c>
      <c r="W33" s="471">
        <f t="shared" si="15"/>
        <v>0</v>
      </c>
      <c r="X33" s="471">
        <f t="shared" si="16"/>
        <v>0</v>
      </c>
      <c r="Y33" s="470"/>
      <c r="Z33" s="470"/>
      <c r="AA33" s="469"/>
      <c r="AB33" s="475">
        <f t="shared" si="24"/>
        <v>0</v>
      </c>
      <c r="AC33" s="475">
        <f t="shared" si="25"/>
        <v>0</v>
      </c>
      <c r="AD33" s="475">
        <f t="shared" si="26"/>
        <v>0</v>
      </c>
      <c r="AE33" s="475">
        <f t="shared" si="27"/>
        <v>0</v>
      </c>
      <c r="AF33" s="476">
        <f t="shared" si="28"/>
        <v>0</v>
      </c>
      <c r="AG33" s="475">
        <f t="shared" si="29"/>
        <v>0</v>
      </c>
      <c r="AH33" s="476">
        <f t="shared" si="30"/>
        <v>0</v>
      </c>
      <c r="AI33" s="475">
        <f t="shared" si="31"/>
        <v>0</v>
      </c>
      <c r="AJ33" s="477">
        <f>IF((D33&lt;&gt;""),VLOOKUP(D33,Données!$E$36:$H$59,4,FALSE),)</f>
        <v>0</v>
      </c>
      <c r="AK33" s="477">
        <f t="shared" si="0"/>
        <v>0</v>
      </c>
      <c r="AL33" s="478">
        <f t="shared" si="17"/>
        <v>0</v>
      </c>
      <c r="AM33" s="479">
        <f t="shared" si="1"/>
        <v>0</v>
      </c>
      <c r="AN33" s="480">
        <f t="shared" si="18"/>
        <v>0</v>
      </c>
      <c r="AO33" s="477">
        <f t="shared" si="19"/>
        <v>0</v>
      </c>
      <c r="AP33" s="481">
        <f t="shared" si="2"/>
        <v>0</v>
      </c>
      <c r="AQ33" s="481">
        <f t="shared" si="3"/>
        <v>0</v>
      </c>
      <c r="AR33" s="481">
        <f t="shared" si="4"/>
        <v>0</v>
      </c>
      <c r="AS33" s="481">
        <f t="shared" si="5"/>
        <v>0</v>
      </c>
      <c r="AT33" s="479">
        <f t="shared" si="20"/>
        <v>0</v>
      </c>
      <c r="AU33" s="479">
        <f t="shared" si="21"/>
        <v>0</v>
      </c>
      <c r="AV33" s="470">
        <f>IF(Données!$H$8="x",AW33,AX33)</f>
        <v>6.0166666666666639</v>
      </c>
      <c r="AW33" s="471">
        <f t="shared" si="6"/>
        <v>3.008333333333332</v>
      </c>
      <c r="AX33" s="471">
        <f>IF(D33="L",AX32,(AX32+"07:36"))</f>
        <v>6.0166666666666639</v>
      </c>
      <c r="AY33" s="467" t="str">
        <f t="shared" si="22"/>
        <v>Je</v>
      </c>
      <c r="AZ33" s="7">
        <f>IF((S40="O4")*AND(S41&lt;&gt;""),VLOOKUP(S41,Échelle!$Z$39:$AA$65,2),)</f>
        <v>0</v>
      </c>
      <c r="BA33" s="4" t="s">
        <v>25</v>
      </c>
      <c r="BB33" s="148"/>
      <c r="BC33" s="2"/>
    </row>
    <row r="34" spans="2:55" x14ac:dyDescent="0.2">
      <c r="B34" s="467" t="s">
        <v>182</v>
      </c>
      <c r="C34" s="468" t="s">
        <v>210</v>
      </c>
      <c r="D34" s="469"/>
      <c r="E34" s="469"/>
      <c r="F34" s="470"/>
      <c r="G34" s="470"/>
      <c r="H34" s="470"/>
      <c r="I34" s="470"/>
      <c r="J34" s="470"/>
      <c r="K34" s="470"/>
      <c r="L34" s="471">
        <f>(G34-F34)+(I34-H34)+(K34-J34)+AJ34+AO34</f>
        <v>0</v>
      </c>
      <c r="M34" s="471">
        <f t="shared" si="34"/>
        <v>0</v>
      </c>
      <c r="N34" s="471">
        <f t="shared" si="7"/>
        <v>6.3333333333333304</v>
      </c>
      <c r="O34" s="472" t="str">
        <f t="shared" si="8"/>
        <v>-</v>
      </c>
      <c r="P34" s="473">
        <f t="shared" si="9"/>
        <v>6.3333333333333304</v>
      </c>
      <c r="Q34" s="474">
        <f t="shared" si="10"/>
        <v>0</v>
      </c>
      <c r="R34" s="474">
        <f t="shared" si="11"/>
        <v>0</v>
      </c>
      <c r="S34" s="474">
        <f t="shared" si="12"/>
        <v>0</v>
      </c>
      <c r="T34" s="474">
        <f t="shared" si="13"/>
        <v>0</v>
      </c>
      <c r="U34" s="471">
        <f t="shared" si="14"/>
        <v>0</v>
      </c>
      <c r="V34" s="471">
        <f>IF(D34="F",L34,0)</f>
        <v>0</v>
      </c>
      <c r="W34" s="471">
        <f t="shared" si="15"/>
        <v>0</v>
      </c>
      <c r="X34" s="471">
        <f t="shared" si="16"/>
        <v>0</v>
      </c>
      <c r="Y34" s="470"/>
      <c r="Z34" s="470"/>
      <c r="AA34" s="469"/>
      <c r="AB34" s="475">
        <f t="shared" si="24"/>
        <v>0</v>
      </c>
      <c r="AC34" s="475">
        <f t="shared" si="25"/>
        <v>0</v>
      </c>
      <c r="AD34" s="475">
        <f t="shared" si="26"/>
        <v>0</v>
      </c>
      <c r="AE34" s="475">
        <f t="shared" si="27"/>
        <v>0</v>
      </c>
      <c r="AF34" s="476">
        <f t="shared" si="28"/>
        <v>0</v>
      </c>
      <c r="AG34" s="475">
        <f t="shared" si="29"/>
        <v>0</v>
      </c>
      <c r="AH34" s="476">
        <f t="shared" si="30"/>
        <v>0</v>
      </c>
      <c r="AI34" s="475">
        <f t="shared" si="31"/>
        <v>0</v>
      </c>
      <c r="AJ34" s="477">
        <f>IF((D34&lt;&gt;""),VLOOKUP(D34,Données!$E$36:$H$59,4,FALSE),)</f>
        <v>0</v>
      </c>
      <c r="AK34" s="477">
        <f t="shared" si="0"/>
        <v>0</v>
      </c>
      <c r="AL34" s="478">
        <f t="shared" si="17"/>
        <v>0</v>
      </c>
      <c r="AM34" s="479">
        <f t="shared" si="1"/>
        <v>0</v>
      </c>
      <c r="AN34" s="480">
        <f t="shared" si="18"/>
        <v>0</v>
      </c>
      <c r="AO34" s="477">
        <f t="shared" si="19"/>
        <v>0</v>
      </c>
      <c r="AP34" s="481">
        <f t="shared" si="2"/>
        <v>0</v>
      </c>
      <c r="AQ34" s="481">
        <f t="shared" si="3"/>
        <v>0</v>
      </c>
      <c r="AR34" s="481">
        <f t="shared" si="4"/>
        <v>0</v>
      </c>
      <c r="AS34" s="481">
        <f t="shared" si="5"/>
        <v>0</v>
      </c>
      <c r="AT34" s="479">
        <f t="shared" si="20"/>
        <v>0</v>
      </c>
      <c r="AU34" s="479">
        <f t="shared" si="21"/>
        <v>0</v>
      </c>
      <c r="AV34" s="470">
        <f>IF(Données!$H$8="x",AW34,AX34)</f>
        <v>6.3333333333333304</v>
      </c>
      <c r="AW34" s="471">
        <f t="shared" si="6"/>
        <v>3.1666666666666652</v>
      </c>
      <c r="AX34" s="471">
        <f>IF(D34="L",AX33,(AX33+"07:36"))</f>
        <v>6.3333333333333304</v>
      </c>
      <c r="AY34" s="467" t="str">
        <f t="shared" si="22"/>
        <v>Ve</v>
      </c>
      <c r="AZ34" s="7">
        <f>IF((S40="O4bis")*AND(S41&lt;&gt;""),VLOOKUP(S41,Échelle!$BG$39:$BH$65,2),)</f>
        <v>0</v>
      </c>
      <c r="BA34" s="4" t="s">
        <v>36</v>
      </c>
      <c r="BB34" s="148"/>
      <c r="BC34" s="2"/>
    </row>
    <row r="35" spans="2:55" x14ac:dyDescent="0.2">
      <c r="B35" s="403" t="s">
        <v>184</v>
      </c>
      <c r="C35" s="412" t="s">
        <v>211</v>
      </c>
      <c r="D35" s="411"/>
      <c r="E35" s="411"/>
      <c r="F35" s="401"/>
      <c r="G35" s="401"/>
      <c r="H35" s="401"/>
      <c r="I35" s="401"/>
      <c r="J35" s="401"/>
      <c r="K35" s="401"/>
      <c r="L35" s="402">
        <f>(G35-F35)+(I35-H35)+(K35-J35)</f>
        <v>0</v>
      </c>
      <c r="M35" s="402">
        <f t="shared" si="34"/>
        <v>0</v>
      </c>
      <c r="N35" s="402">
        <f t="shared" si="7"/>
        <v>6.3333333333333304</v>
      </c>
      <c r="O35" s="419" t="str">
        <f t="shared" si="8"/>
        <v>-</v>
      </c>
      <c r="P35" s="413">
        <f t="shared" si="9"/>
        <v>6.3333333333333304</v>
      </c>
      <c r="Q35" s="410">
        <f t="shared" si="10"/>
        <v>0</v>
      </c>
      <c r="R35" s="410">
        <f t="shared" si="11"/>
        <v>0</v>
      </c>
      <c r="S35" s="410">
        <f t="shared" si="12"/>
        <v>0</v>
      </c>
      <c r="T35" s="410">
        <f t="shared" si="13"/>
        <v>0</v>
      </c>
      <c r="U35" s="402">
        <f t="shared" si="14"/>
        <v>0</v>
      </c>
      <c r="V35" s="402">
        <f>L35</f>
        <v>0</v>
      </c>
      <c r="W35" s="402">
        <f t="shared" si="15"/>
        <v>0</v>
      </c>
      <c r="X35" s="402">
        <f t="shared" si="16"/>
        <v>0</v>
      </c>
      <c r="Y35" s="401"/>
      <c r="Z35" s="401"/>
      <c r="AA35" s="411"/>
      <c r="AB35" s="420">
        <f t="shared" si="24"/>
        <v>0</v>
      </c>
      <c r="AC35" s="420">
        <f t="shared" si="25"/>
        <v>0</v>
      </c>
      <c r="AD35" s="420">
        <f t="shared" si="26"/>
        <v>0</v>
      </c>
      <c r="AE35" s="420">
        <f t="shared" si="27"/>
        <v>0</v>
      </c>
      <c r="AF35" s="421">
        <f t="shared" si="28"/>
        <v>0</v>
      </c>
      <c r="AG35" s="420">
        <f t="shared" si="29"/>
        <v>0</v>
      </c>
      <c r="AH35" s="421">
        <f t="shared" si="30"/>
        <v>0</v>
      </c>
      <c r="AI35" s="420">
        <f t="shared" si="31"/>
        <v>0</v>
      </c>
      <c r="AJ35" s="422">
        <f>IF((D35&lt;&gt;""),VLOOKUP(D35,Données!$E$36:$H$59,4,FALSE),)</f>
        <v>0</v>
      </c>
      <c r="AK35" s="422">
        <f t="shared" si="0"/>
        <v>0</v>
      </c>
      <c r="AL35" s="423">
        <f t="shared" si="17"/>
        <v>0</v>
      </c>
      <c r="AM35" s="424">
        <f t="shared" si="1"/>
        <v>0</v>
      </c>
      <c r="AN35" s="425">
        <f t="shared" si="18"/>
        <v>0</v>
      </c>
      <c r="AO35" s="422">
        <f t="shared" si="19"/>
        <v>0</v>
      </c>
      <c r="AP35" s="426">
        <f t="shared" si="2"/>
        <v>0</v>
      </c>
      <c r="AQ35" s="426">
        <f t="shared" si="3"/>
        <v>0</v>
      </c>
      <c r="AR35" s="426">
        <f t="shared" si="4"/>
        <v>0</v>
      </c>
      <c r="AS35" s="426">
        <f t="shared" si="5"/>
        <v>0</v>
      </c>
      <c r="AT35" s="424">
        <f t="shared" si="20"/>
        <v>0</v>
      </c>
      <c r="AU35" s="424">
        <f t="shared" si="21"/>
        <v>0</v>
      </c>
      <c r="AV35" s="401">
        <f>IF(Données!$H$8="x",AW35,AX35)</f>
        <v>6.3333333333333304</v>
      </c>
      <c r="AW35" s="402">
        <f t="shared" si="6"/>
        <v>3.1666666666666652</v>
      </c>
      <c r="AX35" s="402">
        <f>AX34</f>
        <v>6.3333333333333304</v>
      </c>
      <c r="AY35" s="403" t="str">
        <f t="shared" si="22"/>
        <v>Sa</v>
      </c>
      <c r="AZ35" s="7">
        <f>IF((S40="O4bis-ir")*AND(S41&lt;&gt;""),VLOOKUP(S41,Échelle!$AO$39:$AP$65,2),)</f>
        <v>0</v>
      </c>
      <c r="BA35" s="4" t="s">
        <v>30</v>
      </c>
      <c r="BB35" s="148"/>
      <c r="BC35" s="2"/>
    </row>
    <row r="36" spans="2:55" x14ac:dyDescent="0.2">
      <c r="B36" s="403" t="s">
        <v>186</v>
      </c>
      <c r="C36" s="412" t="s">
        <v>212</v>
      </c>
      <c r="D36" s="411"/>
      <c r="E36" s="411"/>
      <c r="F36" s="401"/>
      <c r="G36" s="401"/>
      <c r="H36" s="401"/>
      <c r="I36" s="401"/>
      <c r="J36" s="401"/>
      <c r="K36" s="401"/>
      <c r="L36" s="402">
        <f>(G36-F36)+(I36-H36)+(K36-J36)</f>
        <v>0</v>
      </c>
      <c r="M36" s="402">
        <f>M35+L36</f>
        <v>0</v>
      </c>
      <c r="N36" s="402">
        <f t="shared" si="7"/>
        <v>6.3333333333333304</v>
      </c>
      <c r="O36" s="419" t="str">
        <f t="shared" si="8"/>
        <v>-</v>
      </c>
      <c r="P36" s="413">
        <f t="shared" si="9"/>
        <v>6.3333333333333304</v>
      </c>
      <c r="Q36" s="410">
        <f t="shared" si="10"/>
        <v>0</v>
      </c>
      <c r="R36" s="410">
        <f t="shared" si="11"/>
        <v>0</v>
      </c>
      <c r="S36" s="410">
        <f t="shared" si="12"/>
        <v>0</v>
      </c>
      <c r="T36" s="410">
        <f t="shared" si="13"/>
        <v>0</v>
      </c>
      <c r="U36" s="402">
        <f t="shared" si="14"/>
        <v>0</v>
      </c>
      <c r="V36" s="402">
        <f>L36</f>
        <v>0</v>
      </c>
      <c r="W36" s="402">
        <f t="shared" si="15"/>
        <v>0</v>
      </c>
      <c r="X36" s="402">
        <f t="shared" si="16"/>
        <v>0</v>
      </c>
      <c r="Y36" s="401"/>
      <c r="Z36" s="401"/>
      <c r="AA36" s="411"/>
      <c r="AB36" s="420">
        <f t="shared" si="24"/>
        <v>0</v>
      </c>
      <c r="AC36" s="420">
        <f t="shared" si="25"/>
        <v>0</v>
      </c>
      <c r="AD36" s="420">
        <f t="shared" si="26"/>
        <v>0</v>
      </c>
      <c r="AE36" s="420">
        <f t="shared" si="27"/>
        <v>0</v>
      </c>
      <c r="AF36" s="421">
        <f t="shared" si="28"/>
        <v>0</v>
      </c>
      <c r="AG36" s="420">
        <f t="shared" si="29"/>
        <v>0</v>
      </c>
      <c r="AH36" s="421">
        <f t="shared" si="30"/>
        <v>0</v>
      </c>
      <c r="AI36" s="420">
        <f t="shared" si="31"/>
        <v>0</v>
      </c>
      <c r="AJ36" s="422">
        <f>IF((D36&lt;&gt;""),VLOOKUP(D36,Données!$E$36:$H$59,4,FALSE),)</f>
        <v>0</v>
      </c>
      <c r="AK36" s="422">
        <f>IF(V36&gt;0,V36,0)</f>
        <v>0</v>
      </c>
      <c r="AL36" s="423">
        <f t="shared" si="17"/>
        <v>0</v>
      </c>
      <c r="AM36" s="424">
        <f t="shared" si="1"/>
        <v>0</v>
      </c>
      <c r="AN36" s="425">
        <f t="shared" si="18"/>
        <v>0</v>
      </c>
      <c r="AO36" s="422">
        <f t="shared" si="19"/>
        <v>0</v>
      </c>
      <c r="AP36" s="426">
        <f t="shared" si="2"/>
        <v>0</v>
      </c>
      <c r="AQ36" s="426">
        <f t="shared" si="3"/>
        <v>0</v>
      </c>
      <c r="AR36" s="426">
        <f t="shared" si="4"/>
        <v>0</v>
      </c>
      <c r="AS36" s="426">
        <f t="shared" si="5"/>
        <v>0</v>
      </c>
      <c r="AT36" s="424">
        <f t="shared" si="20"/>
        <v>0</v>
      </c>
      <c r="AU36" s="424">
        <f t="shared" si="21"/>
        <v>0</v>
      </c>
      <c r="AV36" s="401">
        <f>IF(Données!$H$8="x",AW36,AX36)</f>
        <v>6.3333333333333304</v>
      </c>
      <c r="AW36" s="402">
        <f t="shared" si="6"/>
        <v>3.1666666666666652</v>
      </c>
      <c r="AX36" s="402">
        <f>AX35</f>
        <v>6.3333333333333304</v>
      </c>
      <c r="AY36" s="403" t="str">
        <f t="shared" si="22"/>
        <v>Di</v>
      </c>
      <c r="AZ36" s="7">
        <f>IF((S40="O4ir")*AND(S41&lt;&gt;""),VLOOKUP(S41,Échelle!$AX$39:$AY$65,2),)</f>
        <v>0</v>
      </c>
      <c r="BA36" s="4" t="s">
        <v>33</v>
      </c>
      <c r="BB36" s="148"/>
      <c r="BC36" s="2"/>
    </row>
    <row r="37" spans="2:55" x14ac:dyDescent="0.2">
      <c r="B37" s="467" t="s">
        <v>188</v>
      </c>
      <c r="C37" s="468" t="s">
        <v>213</v>
      </c>
      <c r="D37" s="469"/>
      <c r="E37" s="469"/>
      <c r="F37" s="470"/>
      <c r="G37" s="470"/>
      <c r="H37" s="470"/>
      <c r="I37" s="470"/>
      <c r="J37" s="470"/>
      <c r="K37" s="470"/>
      <c r="L37" s="471">
        <f>(G37-F37)+(I37-H37)+(K37-J37)+AJ37+AO37</f>
        <v>0</v>
      </c>
      <c r="M37" s="471">
        <f>M36+L37</f>
        <v>0</v>
      </c>
      <c r="N37" s="471">
        <f t="shared" si="7"/>
        <v>6.6499999999999968</v>
      </c>
      <c r="O37" s="472" t="str">
        <f t="shared" si="8"/>
        <v>-</v>
      </c>
      <c r="P37" s="473">
        <f t="shared" si="9"/>
        <v>6.6499999999999968</v>
      </c>
      <c r="Q37" s="474">
        <f t="shared" si="10"/>
        <v>0</v>
      </c>
      <c r="R37" s="474">
        <f t="shared" si="11"/>
        <v>0</v>
      </c>
      <c r="S37" s="474">
        <f t="shared" si="12"/>
        <v>0</v>
      </c>
      <c r="T37" s="474">
        <f t="shared" si="13"/>
        <v>0</v>
      </c>
      <c r="U37" s="471">
        <f t="shared" si="14"/>
        <v>0</v>
      </c>
      <c r="V37" s="471">
        <f>IF(D37="F",L37,0)</f>
        <v>0</v>
      </c>
      <c r="W37" s="471">
        <f t="shared" si="15"/>
        <v>0</v>
      </c>
      <c r="X37" s="471">
        <f t="shared" si="16"/>
        <v>0</v>
      </c>
      <c r="Y37" s="470"/>
      <c r="Z37" s="470"/>
      <c r="AA37" s="469"/>
      <c r="AB37" s="475">
        <f t="shared" si="24"/>
        <v>0</v>
      </c>
      <c r="AC37" s="475">
        <f t="shared" si="25"/>
        <v>0</v>
      </c>
      <c r="AD37" s="475">
        <f t="shared" si="26"/>
        <v>0</v>
      </c>
      <c r="AE37" s="475">
        <f t="shared" si="27"/>
        <v>0</v>
      </c>
      <c r="AF37" s="476">
        <f t="shared" si="28"/>
        <v>0</v>
      </c>
      <c r="AG37" s="475">
        <f t="shared" si="29"/>
        <v>0</v>
      </c>
      <c r="AH37" s="476">
        <f t="shared" si="30"/>
        <v>0</v>
      </c>
      <c r="AI37" s="475">
        <f t="shared" si="31"/>
        <v>0</v>
      </c>
      <c r="AJ37" s="477">
        <f>IF((D37&lt;&gt;""),VLOOKUP(D37,Données!$E$36:$H$59,4,FALSE),)</f>
        <v>0</v>
      </c>
      <c r="AK37" s="477">
        <f>IF(V37&gt;0,L37,0)</f>
        <v>0</v>
      </c>
      <c r="AL37" s="478">
        <f t="shared" si="17"/>
        <v>0</v>
      </c>
      <c r="AM37" s="479">
        <f t="shared" si="1"/>
        <v>0</v>
      </c>
      <c r="AN37" s="480">
        <f t="shared" si="18"/>
        <v>0</v>
      </c>
      <c r="AO37" s="477">
        <f t="shared" si="19"/>
        <v>0</v>
      </c>
      <c r="AP37" s="481">
        <f t="shared" si="2"/>
        <v>0</v>
      </c>
      <c r="AQ37" s="481">
        <f t="shared" si="3"/>
        <v>0</v>
      </c>
      <c r="AR37" s="481">
        <f t="shared" si="4"/>
        <v>0</v>
      </c>
      <c r="AS37" s="481">
        <f t="shared" si="5"/>
        <v>0</v>
      </c>
      <c r="AT37" s="479">
        <f t="shared" si="20"/>
        <v>0</v>
      </c>
      <c r="AU37" s="479">
        <f t="shared" si="21"/>
        <v>0</v>
      </c>
      <c r="AV37" s="470">
        <f>IF(Données!$H$8="x",AW37,AX37)</f>
        <v>6.6499999999999968</v>
      </c>
      <c r="AW37" s="471">
        <f t="shared" si="6"/>
        <v>3.3249999999999984</v>
      </c>
      <c r="AX37" s="471">
        <f>IF(D37="V",AX36,(AX36+"07:36"))</f>
        <v>6.6499999999999968</v>
      </c>
      <c r="AY37" s="467" t="str">
        <f t="shared" si="22"/>
        <v>Lu</v>
      </c>
      <c r="AZ37" s="7">
        <f>IF((S40="O5")*AND(S41&lt;&gt;""),VLOOKUP(S41,Échelle!$AC$39:$AD$65,2),)</f>
        <v>0</v>
      </c>
      <c r="BA37" s="4" t="s">
        <v>26</v>
      </c>
      <c r="BB37" s="148"/>
      <c r="BC37" s="2"/>
    </row>
    <row r="38" spans="2:55" x14ac:dyDescent="0.2">
      <c r="AB38" s="200">
        <f t="shared" ref="AB38:AI38" si="35">SUM(AB7:AB37)</f>
        <v>0</v>
      </c>
      <c r="AC38" s="200">
        <f t="shared" si="35"/>
        <v>0</v>
      </c>
      <c r="AD38" s="200">
        <f t="shared" si="35"/>
        <v>0</v>
      </c>
      <c r="AE38" s="200">
        <f t="shared" si="35"/>
        <v>0</v>
      </c>
      <c r="AF38" s="200">
        <f t="shared" si="35"/>
        <v>0</v>
      </c>
      <c r="AG38" s="200">
        <f t="shared" si="35"/>
        <v>0</v>
      </c>
      <c r="AH38" s="200">
        <f t="shared" si="35"/>
        <v>0</v>
      </c>
      <c r="AI38" s="200">
        <f t="shared" si="35"/>
        <v>0</v>
      </c>
      <c r="AK38" s="200">
        <f>SUM(AK7:AK37)</f>
        <v>0</v>
      </c>
      <c r="AM38" s="4">
        <f>SUM(AM7:AM37)+AT38</f>
        <v>0</v>
      </c>
      <c r="AN38" s="39"/>
      <c r="AO38" s="200"/>
      <c r="AP38" s="4">
        <f>SUM(AP7:AP37)</f>
        <v>0</v>
      </c>
      <c r="AQ38" s="4">
        <f>SUM(AQ7:AQ37)</f>
        <v>0</v>
      </c>
      <c r="AR38" s="4">
        <f>SUM(AR7:AR37)</f>
        <v>0</v>
      </c>
      <c r="AS38" s="4">
        <f>SUM(AS7:AS37)</f>
        <v>0</v>
      </c>
      <c r="AT38" s="4">
        <f>SUM(AT7:AT37)</f>
        <v>0</v>
      </c>
      <c r="AU38" s="4">
        <f>SUM(AU7:AU37)+AT38</f>
        <v>0</v>
      </c>
      <c r="AW38" s="28"/>
      <c r="AZ38" s="7">
        <f>IF((S40="O5ir")*AND(S41&lt;&gt;""),VLOOKUP(S41,Échelle!$BA$39:$BB$65,2),)</f>
        <v>0</v>
      </c>
      <c r="BA38" s="4" t="s">
        <v>34</v>
      </c>
      <c r="BB38" s="4"/>
      <c r="BC38" s="2"/>
    </row>
    <row r="39" spans="2:55" x14ac:dyDescent="0.2">
      <c r="C39" s="35" t="s">
        <v>99</v>
      </c>
      <c r="D39" s="61"/>
      <c r="E39" s="61"/>
      <c r="F39" s="35"/>
      <c r="G39" s="35"/>
      <c r="H39" s="35"/>
      <c r="J39" s="249" t="s">
        <v>214</v>
      </c>
      <c r="W39" s="361" t="s">
        <v>215</v>
      </c>
      <c r="X39" s="362"/>
      <c r="Z39" s="211" t="s">
        <v>216</v>
      </c>
      <c r="AA39" s="387" t="s">
        <v>217</v>
      </c>
      <c r="AB39" s="200">
        <f t="shared" ref="AB39:AI39" si="36">IF((MINUTE(AB38)&gt;=30),(AB38+0.041666667),AB38)</f>
        <v>0</v>
      </c>
      <c r="AC39" s="200">
        <f t="shared" si="36"/>
        <v>0</v>
      </c>
      <c r="AD39" s="200">
        <f t="shared" si="36"/>
        <v>0</v>
      </c>
      <c r="AE39" s="200">
        <f t="shared" si="36"/>
        <v>0</v>
      </c>
      <c r="AF39" s="200">
        <f t="shared" si="36"/>
        <v>0</v>
      </c>
      <c r="AG39" s="200">
        <f t="shared" si="36"/>
        <v>0</v>
      </c>
      <c r="AH39" s="200">
        <f t="shared" si="36"/>
        <v>0</v>
      </c>
      <c r="AI39" s="200">
        <f t="shared" si="36"/>
        <v>0</v>
      </c>
      <c r="AK39" s="200">
        <f>IF((MINUTE(AK38)&gt;=30),(AK38+0.041666667),AK38)</f>
        <v>0</v>
      </c>
      <c r="AM39" s="97">
        <f>AM38*(6.7*AA40)</f>
        <v>0</v>
      </c>
      <c r="AN39" s="39">
        <f>SUM(AN7:AN37)</f>
        <v>0</v>
      </c>
      <c r="AO39" s="200"/>
      <c r="AP39" s="4"/>
      <c r="AQ39" s="4"/>
      <c r="AR39" s="4"/>
      <c r="AS39" s="4"/>
      <c r="AT39" s="4"/>
      <c r="AU39" s="4"/>
      <c r="AW39" s="28"/>
      <c r="AZ39" s="7">
        <f>IF((S40="O6")*AND(S41&lt;&gt;""),VLOOKUP(S41,Échelle!$AF$39:$AG$65,2),)</f>
        <v>0</v>
      </c>
      <c r="BA39" s="4" t="s">
        <v>27</v>
      </c>
      <c r="BB39" s="4"/>
      <c r="BC39" s="2"/>
    </row>
    <row r="40" spans="2:55" x14ac:dyDescent="0.2">
      <c r="C40" s="62" t="s">
        <v>218</v>
      </c>
      <c r="D40" s="63"/>
      <c r="E40" s="63"/>
      <c r="F40" s="65"/>
      <c r="G40" s="64"/>
      <c r="H40" s="308">
        <f>32+Données!I61</f>
        <v>32</v>
      </c>
      <c r="J40" s="12" t="s">
        <v>219</v>
      </c>
      <c r="K40" s="13"/>
      <c r="L40" s="14"/>
      <c r="M40" s="13"/>
      <c r="N40" s="13"/>
      <c r="O40" s="13"/>
      <c r="P40" s="14"/>
      <c r="Q40" s="14"/>
      <c r="R40" s="24"/>
      <c r="S40" s="161" t="s">
        <v>6</v>
      </c>
      <c r="T40" s="359" t="s">
        <v>220</v>
      </c>
      <c r="U40" s="360"/>
      <c r="V40" s="360"/>
      <c r="W40" s="268">
        <v>1</v>
      </c>
      <c r="X40" s="267" t="s">
        <v>221</v>
      </c>
      <c r="Z40" s="214">
        <v>1.7758</v>
      </c>
      <c r="AA40" s="388">
        <f>Z40</f>
        <v>1.7758</v>
      </c>
      <c r="AB40" s="200">
        <f t="shared" ref="AB40:AI40" si="37">IF(MINUTE(AB39)&gt;0,FLOOR(AB39,0.041666667),AB39)</f>
        <v>0</v>
      </c>
      <c r="AC40" s="200">
        <f t="shared" si="37"/>
        <v>0</v>
      </c>
      <c r="AD40" s="200">
        <f t="shared" si="37"/>
        <v>0</v>
      </c>
      <c r="AE40" s="200">
        <f t="shared" si="37"/>
        <v>0</v>
      </c>
      <c r="AF40" s="200">
        <f t="shared" si="37"/>
        <v>0</v>
      </c>
      <c r="AG40" s="200">
        <f t="shared" si="37"/>
        <v>0</v>
      </c>
      <c r="AH40" s="200">
        <f t="shared" si="37"/>
        <v>0</v>
      </c>
      <c r="AI40" s="200">
        <f t="shared" si="37"/>
        <v>0</v>
      </c>
      <c r="AK40" s="222">
        <f>IF(MINUTE(AK39)&gt;0,FLOOR(AK39,0.041666667),AK39)</f>
        <v>0</v>
      </c>
      <c r="AL40" s="4"/>
      <c r="AM40" s="4"/>
      <c r="AO40" s="200"/>
      <c r="AP40" s="4"/>
      <c r="AQ40" s="4"/>
      <c r="AR40" s="4"/>
      <c r="AS40" s="4"/>
      <c r="AT40" s="4"/>
      <c r="AU40" s="4"/>
      <c r="AZ40" s="7">
        <f>IF((S40="O6ir")*AND(S41&lt;&gt;""),VLOOKUP(S41,Échelle!$BD$39:$BE$65,2),)</f>
        <v>0</v>
      </c>
      <c r="BA40" s="4" t="s">
        <v>35</v>
      </c>
      <c r="BB40" s="4"/>
      <c r="BC40" s="2"/>
    </row>
    <row r="41" spans="2:55" ht="13.5" thickBot="1" x14ac:dyDescent="0.25">
      <c r="C41" s="62" t="s">
        <v>222</v>
      </c>
      <c r="D41" s="63"/>
      <c r="E41" s="63"/>
      <c r="F41" s="65"/>
      <c r="G41" s="64"/>
      <c r="H41" s="118">
        <v>1</v>
      </c>
      <c r="J41" s="15" t="s">
        <v>223</v>
      </c>
      <c r="K41" s="16"/>
      <c r="L41" s="17"/>
      <c r="M41" s="16"/>
      <c r="N41" s="16"/>
      <c r="O41" s="16"/>
      <c r="P41" s="17"/>
      <c r="Q41" s="17"/>
      <c r="R41" s="25"/>
      <c r="S41" s="162">
        <v>20</v>
      </c>
      <c r="T41" s="363">
        <f>AZ44</f>
        <v>24661</v>
      </c>
      <c r="U41" s="364"/>
      <c r="V41" s="365"/>
      <c r="W41" s="317">
        <v>21822</v>
      </c>
      <c r="X41" s="317">
        <v>21498.68</v>
      </c>
      <c r="Z41" s="47"/>
      <c r="AA41" s="47"/>
      <c r="AP41" s="4"/>
      <c r="AQ41" s="4"/>
      <c r="AR41" s="4"/>
      <c r="AS41" s="4"/>
      <c r="AT41" s="4"/>
      <c r="AU41" s="4"/>
      <c r="AZ41" s="7">
        <f>IF((S40="O7")*AND(S41&lt;&gt;""),VLOOKUP(S41,Échelle!$AI$39:$AJ$65,2),)</f>
        <v>0</v>
      </c>
      <c r="BA41" s="4" t="s">
        <v>28</v>
      </c>
      <c r="BB41" s="4"/>
      <c r="BC41" s="2"/>
    </row>
    <row r="42" spans="2:55" ht="13.5" thickTop="1" x14ac:dyDescent="0.2">
      <c r="C42" s="62" t="s">
        <v>224</v>
      </c>
      <c r="D42" s="228"/>
      <c r="E42" s="228"/>
      <c r="F42" s="144"/>
      <c r="G42" s="144"/>
      <c r="H42" s="6">
        <f>AN39</f>
        <v>0</v>
      </c>
      <c r="J42" s="18" t="s">
        <v>225</v>
      </c>
      <c r="K42" s="4"/>
      <c r="L42" s="98"/>
      <c r="M42" s="223">
        <f>AK40</f>
        <v>0</v>
      </c>
      <c r="N42" s="35" t="s">
        <v>226</v>
      </c>
      <c r="O42" s="75"/>
      <c r="P42" s="47"/>
      <c r="Q42" s="98"/>
      <c r="R42" s="47"/>
      <c r="S42" s="114"/>
      <c r="T42" s="116"/>
      <c r="U42" s="157">
        <f>IF(X3="x",(M42*AK43/0.041666667),0)</f>
        <v>0</v>
      </c>
      <c r="V42" s="24" t="s">
        <v>227</v>
      </c>
      <c r="W42" s="160">
        <f>IF(Z3="x",(M42*AH43/0.041666667),0)</f>
        <v>0</v>
      </c>
      <c r="X42" s="26" t="s">
        <v>227</v>
      </c>
      <c r="Z42" s="216" t="s">
        <v>228</v>
      </c>
      <c r="AA42" s="305"/>
      <c r="AF42" s="114" t="s">
        <v>229</v>
      </c>
      <c r="AG42" s="196"/>
      <c r="AH42" s="121">
        <f>X41*1.2434/1850</f>
        <v>14.449437141621623</v>
      </c>
      <c r="AI42" s="21"/>
      <c r="AK42" s="114">
        <f>(T41*AA40)/1850</f>
        <v>23.671893945945946</v>
      </c>
      <c r="AL42" s="13" t="s">
        <v>230</v>
      </c>
      <c r="AM42" s="13"/>
      <c r="AN42" s="13" t="s">
        <v>231</v>
      </c>
      <c r="AO42" s="124"/>
      <c r="AP42" s="4"/>
      <c r="AQ42" s="4"/>
      <c r="AR42" s="4"/>
      <c r="AS42" s="4"/>
      <c r="AT42" s="4"/>
      <c r="AU42" s="4"/>
      <c r="AZ42" s="7">
        <f>IF((S40="O8")*AND(S41&lt;&gt;""),VLOOKUP(S41,Échelle!$AL$39:$AM$68,2),)</f>
        <v>0</v>
      </c>
      <c r="BA42" s="4" t="s">
        <v>29</v>
      </c>
      <c r="BB42" s="4"/>
      <c r="BC42" s="2"/>
    </row>
    <row r="43" spans="2:55" x14ac:dyDescent="0.2">
      <c r="C43" s="62" t="s">
        <v>232</v>
      </c>
      <c r="D43" s="63"/>
      <c r="E43" s="63"/>
      <c r="F43" s="65"/>
      <c r="G43" s="303" t="s">
        <v>233</v>
      </c>
      <c r="H43" s="41">
        <f>AB43+(AB44/2)+(AB45/2)</f>
        <v>0</v>
      </c>
      <c r="J43" s="18" t="s">
        <v>234</v>
      </c>
      <c r="K43" s="4"/>
      <c r="L43" s="47"/>
      <c r="M43" s="224">
        <f>IF(Z3="x",AD40,)</f>
        <v>0</v>
      </c>
      <c r="N43" s="35" t="s">
        <v>226</v>
      </c>
      <c r="O43" s="75"/>
      <c r="P43" s="47"/>
      <c r="Q43" s="47"/>
      <c r="R43" s="47"/>
      <c r="S43" s="18"/>
      <c r="T43" s="103"/>
      <c r="U43" s="47"/>
      <c r="V43" s="26"/>
      <c r="W43" s="160">
        <f>IF(Z3="x",(M43*AH51/0.041666667),0)</f>
        <v>0</v>
      </c>
      <c r="X43" s="26" t="s">
        <v>227</v>
      </c>
      <c r="Z43" s="218" t="s">
        <v>235</v>
      </c>
      <c r="AA43" s="306"/>
      <c r="AB43" s="4">
        <f>COUNTIF(AL7:AL37,"1")</f>
        <v>0</v>
      </c>
      <c r="AE43" s="4">
        <f>M46*78</f>
        <v>0</v>
      </c>
      <c r="AF43" s="45"/>
      <c r="AG43" s="190" t="s">
        <v>155</v>
      </c>
      <c r="AH43" s="125">
        <f>AH42*0.9645*AK49/100*1.45</f>
        <v>9.8048726328815921</v>
      </c>
      <c r="AI43" s="21"/>
      <c r="AK43" s="279">
        <f>(AK42*0.9645)*AK49/100</f>
        <v>11.077864038111635</v>
      </c>
      <c r="AL43" s="20" t="s">
        <v>236</v>
      </c>
      <c r="AM43" s="20"/>
      <c r="AN43" s="54"/>
      <c r="AO43" s="55"/>
      <c r="AP43" s="4"/>
      <c r="AQ43" s="4"/>
      <c r="AR43" s="4"/>
      <c r="AS43" s="4"/>
      <c r="AT43" s="4"/>
      <c r="AU43" s="4"/>
      <c r="AZ43" s="197">
        <f>IF((S40=Échelle!$CB$3)*AND(S41&lt;&gt;""),VLOOKUP(S41,Échelle!$CB$5:$CC$38,2),)</f>
        <v>0</v>
      </c>
      <c r="BA43" s="20" t="s">
        <v>237</v>
      </c>
      <c r="BB43" s="4"/>
      <c r="BC43" s="2"/>
    </row>
    <row r="44" spans="2:55" x14ac:dyDescent="0.2">
      <c r="C44" s="304"/>
      <c r="D44" s="66"/>
      <c r="E44" s="66"/>
      <c r="F44" s="67"/>
      <c r="G44" s="68"/>
      <c r="H44" s="73"/>
      <c r="J44" s="18" t="s">
        <v>238</v>
      </c>
      <c r="K44" s="21"/>
      <c r="L44" s="21"/>
      <c r="M44" s="224">
        <f>IF(X3="x",AF40,)</f>
        <v>0</v>
      </c>
      <c r="N44" s="35" t="s">
        <v>226</v>
      </c>
      <c r="O44" s="21"/>
      <c r="P44" s="21"/>
      <c r="Q44" s="21"/>
      <c r="R44" s="21"/>
      <c r="S44" s="18"/>
      <c r="T44" s="103"/>
      <c r="U44" s="158">
        <f>IF(X3="x",(M44*AK51/0.041666667),0)</f>
        <v>0</v>
      </c>
      <c r="V44" s="26" t="s">
        <v>227</v>
      </c>
      <c r="W44" s="160"/>
      <c r="X44" s="26"/>
      <c r="Z44" s="221">
        <f>AK48</f>
        <v>51.48</v>
      </c>
      <c r="AA44" s="220"/>
      <c r="AB44" s="4">
        <f>COUNTIF(AL7:AL37,"2")</f>
        <v>0</v>
      </c>
      <c r="AE44" s="4">
        <f>M47*23</f>
        <v>0</v>
      </c>
      <c r="AF44" s="53"/>
      <c r="AG44" s="20" t="s">
        <v>239</v>
      </c>
      <c r="AH44" s="280">
        <f>(W41*1.2434/1850)*0.009645*AK49</f>
        <v>6.8636749853621204</v>
      </c>
      <c r="AI44" s="283"/>
      <c r="AK44" s="4">
        <v>1.24</v>
      </c>
      <c r="AL44" s="4" t="s">
        <v>240</v>
      </c>
      <c r="AM44" s="4"/>
      <c r="AP44" s="4"/>
      <c r="AQ44" s="4"/>
      <c r="AR44" s="4"/>
      <c r="AS44" s="4"/>
      <c r="AT44" s="4"/>
      <c r="AU44" s="4"/>
      <c r="AZ44" s="4">
        <f>SUM(AZ7:AZ43)</f>
        <v>24661</v>
      </c>
      <c r="BB44" s="4"/>
      <c r="BC44" s="2"/>
    </row>
    <row r="45" spans="2:55" x14ac:dyDescent="0.2">
      <c r="C45" s="69" t="s">
        <v>241</v>
      </c>
      <c r="D45" s="70"/>
      <c r="E45" s="70"/>
      <c r="F45" s="71"/>
      <c r="G45" s="72"/>
      <c r="H45" s="74">
        <f>H40-H43+H41+H42</f>
        <v>33</v>
      </c>
      <c r="J45" s="18" t="s">
        <v>242</v>
      </c>
      <c r="K45" s="21"/>
      <c r="L45" s="21"/>
      <c r="M45" s="224">
        <f>IF(X3="x",AG40,)</f>
        <v>0</v>
      </c>
      <c r="N45" s="35" t="s">
        <v>226</v>
      </c>
      <c r="O45" s="21"/>
      <c r="P45" s="21"/>
      <c r="Q45" s="21"/>
      <c r="R45" s="21"/>
      <c r="S45" s="18"/>
      <c r="T45" s="103"/>
      <c r="U45" s="158">
        <f>IF(X3="x",(M45*AK52/0.041666667),0)</f>
        <v>0</v>
      </c>
      <c r="V45" s="26" t="s">
        <v>227</v>
      </c>
      <c r="W45" s="160"/>
      <c r="X45" s="26"/>
      <c r="AA45" s="47"/>
      <c r="AB45" s="4">
        <f>COUNTIF(AL7:AL37,"7")</f>
        <v>0</v>
      </c>
      <c r="AG45" s="4"/>
      <c r="AH45" s="4"/>
      <c r="AI45" s="4"/>
      <c r="AK45" s="4">
        <v>2.48</v>
      </c>
      <c r="AL45" s="4" t="s">
        <v>169</v>
      </c>
      <c r="AM45" s="4"/>
      <c r="AP45" s="4"/>
      <c r="AQ45" s="4"/>
      <c r="AR45" s="4"/>
      <c r="AS45" s="4"/>
      <c r="AT45" s="4"/>
      <c r="AU45" s="4"/>
      <c r="BB45" s="4"/>
      <c r="BC45" s="2"/>
    </row>
    <row r="46" spans="2:55" x14ac:dyDescent="0.2">
      <c r="I46" s="4"/>
      <c r="J46" s="18" t="s">
        <v>243</v>
      </c>
      <c r="K46" s="4"/>
      <c r="L46" s="47"/>
      <c r="M46" s="100">
        <f>COUNTIF(Q7:Q37,"1")</f>
        <v>0</v>
      </c>
      <c r="N46" s="18" t="s">
        <v>244</v>
      </c>
      <c r="O46" s="4"/>
      <c r="P46" s="47"/>
      <c r="Q46" s="47"/>
      <c r="R46" s="47">
        <f>COUNTIF(Q7:Q37,"2")</f>
        <v>0</v>
      </c>
      <c r="S46" s="18"/>
      <c r="T46" s="103"/>
      <c r="U46" s="158">
        <f>IF(X3="x",(M46*AK45*AA40+(R46*AA40*6.2)),0)</f>
        <v>0</v>
      </c>
      <c r="V46" s="26" t="s">
        <v>227</v>
      </c>
      <c r="W46" s="158">
        <f>IF(Z3="x",(M46*AK45*AA40+(R46*AA40*6.2)),0)</f>
        <v>0</v>
      </c>
      <c r="X46" s="26" t="s">
        <v>227</v>
      </c>
      <c r="AA46" s="47"/>
      <c r="AB46" s="4" t="s">
        <v>245</v>
      </c>
      <c r="AC46" s="4"/>
      <c r="AD46" s="4"/>
      <c r="AE46" s="4"/>
      <c r="AF46" s="4"/>
      <c r="AG46" s="4"/>
      <c r="AH46" s="4"/>
      <c r="AI46" s="4"/>
      <c r="AK46" s="4">
        <v>2.48</v>
      </c>
      <c r="AL46" s="4" t="s">
        <v>170</v>
      </c>
      <c r="AM46" s="4"/>
      <c r="AP46" s="4"/>
      <c r="AQ46" s="4"/>
      <c r="AR46" s="4"/>
      <c r="AS46" s="4"/>
      <c r="AT46" s="4"/>
      <c r="AU46" s="4"/>
      <c r="BB46" s="4"/>
      <c r="BC46" s="2"/>
    </row>
    <row r="47" spans="2:55" x14ac:dyDescent="0.2">
      <c r="C47" s="245" t="s">
        <v>246</v>
      </c>
      <c r="F47" s="4"/>
      <c r="G47" s="109" t="s">
        <v>247</v>
      </c>
      <c r="H47" s="109" t="s">
        <v>248</v>
      </c>
      <c r="J47" s="18" t="s">
        <v>249</v>
      </c>
      <c r="K47" s="21"/>
      <c r="L47" s="47"/>
      <c r="M47" s="100">
        <f>COUNTIF(R7:R37,"1")</f>
        <v>0</v>
      </c>
      <c r="N47" s="18" t="s">
        <v>250</v>
      </c>
      <c r="O47" s="21"/>
      <c r="P47" s="47"/>
      <c r="Q47" s="47"/>
      <c r="R47" s="47">
        <f>COUNTIF(R7:R37,"2")</f>
        <v>0</v>
      </c>
      <c r="S47" s="18"/>
      <c r="T47" s="103"/>
      <c r="U47" s="158">
        <f>IF(X3="x",(M47*AK46*AA40+(R47*AA40*6.2)),0)</f>
        <v>0</v>
      </c>
      <c r="V47" s="26" t="s">
        <v>227</v>
      </c>
      <c r="W47" s="158">
        <f>IF(Z3="x",(M47*AK46*AA40+(R47*AA40*6.2)),0)</f>
        <v>0</v>
      </c>
      <c r="X47" s="26" t="s">
        <v>227</v>
      </c>
      <c r="AA47" s="47"/>
      <c r="AB47" s="7">
        <f>IF((M37-N37-U4)&gt;0,(M37-N37-U4-G55),)</f>
        <v>0</v>
      </c>
      <c r="AC47" s="7">
        <f>IF((MINUTE(AB47)&gt;=30),(0.041666667),)</f>
        <v>0</v>
      </c>
      <c r="AD47" s="7">
        <f>AB47+AC47</f>
        <v>0</v>
      </c>
      <c r="AE47" s="7">
        <f>AD47</f>
        <v>0</v>
      </c>
      <c r="AF47" s="4"/>
      <c r="AG47" s="4"/>
      <c r="AH47" s="4"/>
      <c r="AI47" s="4"/>
      <c r="AK47" s="4">
        <v>1.74</v>
      </c>
      <c r="AL47" s="4" t="s">
        <v>251</v>
      </c>
      <c r="AM47" s="4"/>
      <c r="AP47" s="4"/>
      <c r="AQ47" s="4"/>
      <c r="AR47" s="4"/>
      <c r="AS47" s="4"/>
      <c r="AT47" s="4"/>
      <c r="AU47" s="4"/>
      <c r="BB47" s="4"/>
      <c r="BC47" s="2"/>
    </row>
    <row r="48" spans="2:55" x14ac:dyDescent="0.2">
      <c r="C48" s="35" t="s">
        <v>252</v>
      </c>
      <c r="G48" s="133"/>
      <c r="H48" s="133" t="s">
        <v>117</v>
      </c>
      <c r="J48" s="18" t="s">
        <v>253</v>
      </c>
      <c r="K48" s="46"/>
      <c r="L48" s="149"/>
      <c r="M48" s="100">
        <f>COUNTIF(S7:S37,"1")</f>
        <v>0</v>
      </c>
      <c r="N48" s="18" t="s">
        <v>254</v>
      </c>
      <c r="O48" s="4"/>
      <c r="P48" s="4"/>
      <c r="Q48" s="21"/>
      <c r="R48" s="26">
        <f>COUNTIF(S7:S37,"2")</f>
        <v>0</v>
      </c>
      <c r="S48" s="4"/>
      <c r="T48" s="117"/>
      <c r="U48" s="158">
        <f>IF(X3="x",(M48*AK47*AA40+(R48*AA40*3.48)),0)</f>
        <v>0</v>
      </c>
      <c r="V48" s="26" t="s">
        <v>227</v>
      </c>
      <c r="W48" s="158">
        <f>IF(Z3="x",(M48*AK47*AA40+(R48*AA40*3.48)),0)</f>
        <v>0</v>
      </c>
      <c r="X48" s="26" t="s">
        <v>227</v>
      </c>
      <c r="AB48" s="7"/>
      <c r="AC48" s="7"/>
      <c r="AD48" s="7"/>
      <c r="AE48" s="7">
        <f>HOUR(AE47)</f>
        <v>0</v>
      </c>
      <c r="AF48" s="4"/>
      <c r="AG48" s="4"/>
      <c r="AH48" s="4"/>
      <c r="AI48" s="4"/>
      <c r="AK48" s="4">
        <f>VLOOKUP(AS48,Données!$F$74:$H$85,3)</f>
        <v>51.48</v>
      </c>
      <c r="AL48" s="4" t="s">
        <v>255</v>
      </c>
      <c r="AP48" s="385">
        <f>T41*Z40</f>
        <v>43793.003799999999</v>
      </c>
      <c r="AQ48" s="2">
        <f>AP48*0.075</f>
        <v>3284.475285</v>
      </c>
      <c r="AR48" s="2">
        <f>AP48*0.0355</f>
        <v>1554.6516348999999</v>
      </c>
      <c r="AS48" s="225">
        <f>AP48-AQ48-AR48</f>
        <v>38953.876880099997</v>
      </c>
      <c r="BB48" s="4"/>
      <c r="BC48" s="2"/>
    </row>
    <row r="49" spans="3:55" x14ac:dyDescent="0.2">
      <c r="J49" s="18" t="s">
        <v>256</v>
      </c>
      <c r="K49" s="46"/>
      <c r="L49" s="149"/>
      <c r="M49" s="100">
        <f>COUNTIF(T7:T37,"1")</f>
        <v>0</v>
      </c>
      <c r="N49" s="18" t="s">
        <v>257</v>
      </c>
      <c r="O49" s="4"/>
      <c r="P49" s="4"/>
      <c r="Q49" s="21"/>
      <c r="R49" s="26">
        <f>COUNTIF(T7:T37,"2")</f>
        <v>0</v>
      </c>
      <c r="S49" s="4"/>
      <c r="T49" s="117"/>
      <c r="U49" s="158">
        <f>IF(X3="x",(M49*AK44*AA40+(R49*AA40*2.48)),0)</f>
        <v>0</v>
      </c>
      <c r="V49" s="26" t="s">
        <v>227</v>
      </c>
      <c r="W49" s="158">
        <f>IF(Z3="x",(M49*AK44*AA40+(R49*AA40*2.48)),0)</f>
        <v>0</v>
      </c>
      <c r="X49" s="26" t="s">
        <v>227</v>
      </c>
      <c r="AB49" s="60">
        <f>HOUR(AD47)*0.041666667</f>
        <v>0</v>
      </c>
      <c r="AD49" s="7"/>
      <c r="AF49" s="4"/>
      <c r="AG49" s="4"/>
      <c r="AH49" s="4"/>
      <c r="AI49" s="4"/>
      <c r="AK49" s="97">
        <f>100-AK48</f>
        <v>48.52</v>
      </c>
      <c r="AL49" s="4" t="s">
        <v>258</v>
      </c>
      <c r="BB49" s="4"/>
      <c r="BC49" s="2"/>
    </row>
    <row r="50" spans="3:55" x14ac:dyDescent="0.2">
      <c r="C50" s="4" t="s">
        <v>259</v>
      </c>
      <c r="F50" s="4"/>
      <c r="G50" s="4"/>
      <c r="J50" s="18" t="s">
        <v>260</v>
      </c>
      <c r="K50" s="4"/>
      <c r="L50" s="21"/>
      <c r="M50" s="224">
        <f>IF(AND(G48="x",O37="+",AB47&gt;=0),AB51,0)</f>
        <v>0</v>
      </c>
      <c r="N50" s="35" t="s">
        <v>226</v>
      </c>
      <c r="O50" s="75"/>
      <c r="P50" s="47"/>
      <c r="Q50" s="47"/>
      <c r="R50" s="47"/>
      <c r="S50" s="18"/>
      <c r="T50" s="103"/>
      <c r="U50" s="158">
        <f>IF(X3="x",(M50*AK43/0.041666667),0)</f>
        <v>0</v>
      </c>
      <c r="V50" s="26" t="s">
        <v>227</v>
      </c>
      <c r="W50" s="160">
        <f>IF(Z3="x",(M50*AH44/0.041666667),0)</f>
        <v>0</v>
      </c>
      <c r="X50" s="26" t="s">
        <v>227</v>
      </c>
      <c r="AB50" s="7">
        <f>AD47-AB49</f>
        <v>0</v>
      </c>
      <c r="AD50" s="96"/>
      <c r="AF50" s="4"/>
      <c r="AG50" s="4"/>
      <c r="AH50" s="4"/>
      <c r="AI50" s="4"/>
      <c r="AL50" s="4"/>
      <c r="BB50" s="4"/>
      <c r="BC50" s="2"/>
    </row>
    <row r="51" spans="3:55" x14ac:dyDescent="0.2">
      <c r="C51" s="4" t="s">
        <v>261</v>
      </c>
      <c r="F51" s="4"/>
      <c r="G51" s="215">
        <v>0</v>
      </c>
      <c r="J51" s="18" t="s">
        <v>262</v>
      </c>
      <c r="K51" s="21"/>
      <c r="L51" s="21"/>
      <c r="M51" s="177">
        <f>AM38</f>
        <v>0</v>
      </c>
      <c r="N51" s="188" t="s">
        <v>263</v>
      </c>
      <c r="O51" s="153"/>
      <c r="P51" s="47"/>
      <c r="Q51" s="47"/>
      <c r="R51" s="47"/>
      <c r="S51" s="18"/>
      <c r="T51" s="153"/>
      <c r="U51" s="158">
        <f>IF(X3="x",AM39,0)</f>
        <v>0</v>
      </c>
      <c r="V51" s="26" t="s">
        <v>227</v>
      </c>
      <c r="W51" s="160">
        <f>IF(Z3="x",AM39,0)</f>
        <v>0</v>
      </c>
      <c r="X51" s="26" t="s">
        <v>227</v>
      </c>
      <c r="AB51" s="7">
        <f>IF(MINUTE(AB47)&gt;0,FLOOR(AE47,0.041666667),AE47)</f>
        <v>0</v>
      </c>
      <c r="AC51" s="96"/>
      <c r="AD51" s="96"/>
      <c r="AF51" s="4"/>
      <c r="AG51" s="4" t="s">
        <v>161</v>
      </c>
      <c r="AH51" s="4">
        <f>AH42*0.00325*0.9645*AK49</f>
        <v>2.1976438659907016</v>
      </c>
      <c r="AI51" s="4"/>
      <c r="AK51" s="97">
        <f>AK43/100*20</f>
        <v>2.2155728076223271</v>
      </c>
      <c r="AL51" s="4" t="s">
        <v>264</v>
      </c>
      <c r="BB51" s="4"/>
      <c r="BC51" s="2"/>
    </row>
    <row r="52" spans="3:55" x14ac:dyDescent="0.2">
      <c r="C52" s="245" t="s">
        <v>265</v>
      </c>
      <c r="J52" s="18" t="s">
        <v>266</v>
      </c>
      <c r="K52" s="21"/>
      <c r="L52" s="21"/>
      <c r="M52" s="186">
        <f>SUM(AA7:AA37)</f>
        <v>0</v>
      </c>
      <c r="N52" s="188" t="s">
        <v>267</v>
      </c>
      <c r="O52" s="21"/>
      <c r="P52" s="21"/>
      <c r="Q52" s="21"/>
      <c r="R52" s="21"/>
      <c r="S52" s="18"/>
      <c r="T52" s="187"/>
      <c r="U52" s="158">
        <f>IF(X3="x",(M52*Données!$T$13),0)</f>
        <v>0</v>
      </c>
      <c r="V52" s="26" t="s">
        <v>227</v>
      </c>
      <c r="W52" s="160">
        <f>IF(Z3="x",M52*0.2,0)</f>
        <v>0</v>
      </c>
      <c r="X52" s="26" t="s">
        <v>227</v>
      </c>
      <c r="AB52" s="4"/>
      <c r="AC52" s="4"/>
      <c r="AD52" s="4"/>
      <c r="AE52" s="4"/>
      <c r="AF52" s="4"/>
      <c r="AH52" s="4"/>
      <c r="AI52" s="4"/>
      <c r="AK52" s="97">
        <f>AK43/100*35</f>
        <v>3.8772524133390722</v>
      </c>
      <c r="AL52" s="4" t="s">
        <v>268</v>
      </c>
      <c r="BB52" s="4"/>
      <c r="BC52" s="2"/>
    </row>
    <row r="53" spans="3:55" x14ac:dyDescent="0.2">
      <c r="J53" s="18" t="s">
        <v>269</v>
      </c>
      <c r="K53" s="21"/>
      <c r="L53" s="21"/>
      <c r="M53" s="224">
        <f>AH54</f>
        <v>0</v>
      </c>
      <c r="N53" s="35" t="s">
        <v>226</v>
      </c>
      <c r="O53" s="21"/>
      <c r="P53" s="21"/>
      <c r="Q53" s="21"/>
      <c r="R53" s="21"/>
      <c r="S53" s="18"/>
      <c r="T53" s="153"/>
      <c r="U53" s="158">
        <f>IF(X3="x",(M53*AK54/0.041666667),0)</f>
        <v>0</v>
      </c>
      <c r="V53" s="26" t="s">
        <v>227</v>
      </c>
      <c r="W53" s="158">
        <f>IF(Z3="x",(M53*AK54/0.041666667),0)</f>
        <v>0</v>
      </c>
      <c r="X53" s="26" t="s">
        <v>227</v>
      </c>
      <c r="BB53" s="4"/>
      <c r="BC53" s="2"/>
    </row>
    <row r="54" spans="3:55" x14ac:dyDescent="0.2">
      <c r="C54" s="35" t="s">
        <v>270</v>
      </c>
      <c r="J54" s="18" t="s">
        <v>271</v>
      </c>
      <c r="K54" s="21"/>
      <c r="L54" s="21"/>
      <c r="M54" s="224">
        <f>AH55</f>
        <v>0</v>
      </c>
      <c r="N54" s="188" t="s">
        <v>226</v>
      </c>
      <c r="O54" s="21"/>
      <c r="P54" s="21"/>
      <c r="Q54" s="21"/>
      <c r="R54" s="21"/>
      <c r="S54" s="18"/>
      <c r="T54" s="153"/>
      <c r="U54" s="158">
        <f>IF(X3="x",(M54*AK55/0.041666667),0)</f>
        <v>0</v>
      </c>
      <c r="V54" s="26" t="s">
        <v>227</v>
      </c>
      <c r="W54" s="158">
        <f>IF(Z3="x",(M54*AK55/0.041666667),0)</f>
        <v>0</v>
      </c>
      <c r="X54" s="26" t="s">
        <v>227</v>
      </c>
      <c r="AE54" s="285">
        <f>SUM(Y7:Y37)</f>
        <v>0</v>
      </c>
      <c r="AF54" s="313">
        <f>IF(MINUTE(AE54)&gt;=30,AE54+0.041666667,AE54)</f>
        <v>0</v>
      </c>
      <c r="AG54" s="313"/>
      <c r="AH54" s="313">
        <f>IF(MINUTE(AF54)&gt;0,FLOOR(AF54,0.041666667),AF54)</f>
        <v>0</v>
      </c>
      <c r="AI54" s="313"/>
      <c r="AJ54" s="196"/>
      <c r="AK54" s="212">
        <f>AK43/24</f>
        <v>0.46157766825465146</v>
      </c>
      <c r="AL54" s="13" t="s">
        <v>272</v>
      </c>
      <c r="AM54" s="13"/>
      <c r="AN54" s="13"/>
      <c r="AO54" s="13"/>
      <c r="AP54" s="121"/>
      <c r="BB54" s="4"/>
      <c r="BC54" s="2"/>
    </row>
    <row r="55" spans="3:55" x14ac:dyDescent="0.2">
      <c r="C55" s="35" t="s">
        <v>261</v>
      </c>
      <c r="G55" s="198">
        <v>0</v>
      </c>
      <c r="J55" s="19" t="s">
        <v>273</v>
      </c>
      <c r="K55" s="20"/>
      <c r="L55" s="20"/>
      <c r="M55" s="318">
        <f>AU38</f>
        <v>0</v>
      </c>
      <c r="N55" s="20" t="s">
        <v>263</v>
      </c>
      <c r="O55" s="99"/>
      <c r="P55" s="20"/>
      <c r="Q55" s="20"/>
      <c r="R55" s="20"/>
      <c r="S55" s="19"/>
      <c r="T55" s="20"/>
      <c r="U55" s="159">
        <f>IF(X3="x",(M55*(2.81*AA40))/100*(100-Z44),0)</f>
        <v>0</v>
      </c>
      <c r="V55" s="27" t="s">
        <v>227</v>
      </c>
      <c r="W55" s="159">
        <f>IF(Z3="x",(M55*(2.81*AA40))/100*(100-Z44),0)</f>
        <v>0</v>
      </c>
      <c r="X55" s="27" t="s">
        <v>227</v>
      </c>
      <c r="AE55" s="286">
        <f>SUM(Z7:Z37)</f>
        <v>0</v>
      </c>
      <c r="AF55" s="314">
        <f>IF(MINUTE(AE55)&gt;=30,AE55+0.041666667,AE55)</f>
        <v>0</v>
      </c>
      <c r="AG55" s="314"/>
      <c r="AH55" s="314">
        <f>IF(MINUTE(AF55)&gt;0,FLOOR(AF55,0.041666667),AF55)</f>
        <v>0</v>
      </c>
      <c r="AI55" s="314"/>
      <c r="AJ55" s="197"/>
      <c r="AK55" s="213">
        <f>AK43/15</f>
        <v>0.7385242692074423</v>
      </c>
      <c r="AL55" s="20" t="s">
        <v>274</v>
      </c>
      <c r="AM55" s="20"/>
      <c r="AN55" s="20"/>
      <c r="AO55" s="20"/>
      <c r="AP55" s="119"/>
      <c r="BB55" s="4"/>
      <c r="BC55" s="2"/>
    </row>
    <row r="56" spans="3:55" x14ac:dyDescent="0.2">
      <c r="C56" s="245" t="s">
        <v>265</v>
      </c>
      <c r="E56" s="21"/>
      <c r="F56" s="47"/>
      <c r="G56" s="21"/>
      <c r="H56" s="21"/>
      <c r="I56" s="21"/>
      <c r="L56" s="104" t="s">
        <v>275</v>
      </c>
      <c r="M56" s="104"/>
      <c r="N56" s="19"/>
      <c r="O56" s="105"/>
      <c r="P56" s="99"/>
      <c r="Q56" s="99"/>
      <c r="R56" s="99"/>
      <c r="S56" s="19"/>
      <c r="T56" s="106"/>
      <c r="U56" s="159">
        <f>IF(X3="x",(SUM(U42:U55)),0)</f>
        <v>0</v>
      </c>
      <c r="V56" s="27" t="s">
        <v>227</v>
      </c>
      <c r="W56" s="159">
        <f>IF(Z3="x",(SUM(W42:W55)),0)</f>
        <v>0</v>
      </c>
      <c r="X56" s="27" t="s">
        <v>227</v>
      </c>
      <c r="BB56" s="4"/>
      <c r="BC56" s="2"/>
    </row>
    <row r="57" spans="3:55" x14ac:dyDescent="0.2">
      <c r="E57" s="21"/>
      <c r="F57" s="47"/>
      <c r="G57" s="21"/>
      <c r="H57" s="21"/>
      <c r="I57" s="21"/>
      <c r="J57" s="21"/>
      <c r="K57" s="21"/>
      <c r="L57" s="104"/>
      <c r="M57" s="189"/>
      <c r="N57" s="21"/>
      <c r="BB57" s="4"/>
      <c r="BC57" s="2"/>
    </row>
    <row r="58" spans="3:55" x14ac:dyDescent="0.2">
      <c r="BB58" s="148"/>
    </row>
    <row r="59" spans="3:55" x14ac:dyDescent="0.2">
      <c r="BB59" s="148"/>
    </row>
  </sheetData>
  <sheetProtection algorithmName="SHA-512" hashValue="2muNre0kRoBzNNTzQVwlV7iviy1OH04NM9CEzJyfBftW16B+w7gcsDV/Fmd1pMTwxbZ3zP0iLha0UFY9v7fxzA==" saltValue="ApcuDYTS08lrAkbRVF1Diw==" spinCount="100000" sheet="1" objects="1" scenarios="1"/>
  <phoneticPr fontId="0" type="noConversion"/>
  <pageMargins left="0.39370078740157483" right="0.39370078740157483" top="0.39370078740157483" bottom="0.39370078740157483" header="0" footer="0"/>
  <pageSetup paperSize="9" scale="33" orientation="landscape" horizontalDpi="300" verticalDpi="300" r:id="rId1"/>
  <headerFooter alignWithMargins="0"/>
  <ignoredErrors>
    <ignoredError sqref="AV7:AW7 AV32:AW32 Q7:T37 AV20:AW20 AV19:AW19 AV13:AW13 AV12:AW12 AV15:AW18 AV14:AW14 AV22:AW25 AV21:AW21 AV27:AW27 AV26:AW26 AV29:AW31 AV28:AW28 AV34:AW34 AV33:AW33 AV36:AW37 AV35:AW35 AV11:AW11 AV8:AW8 AV9:AW9 AV10:AW10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BB60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2851562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7" width="5.7109375" style="5" customWidth="1"/>
    <col min="28" max="28" width="13.7109375" style="2" hidden="1" customWidth="1"/>
    <col min="29" max="29" width="4.8554687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4" width="12" style="2" hidden="1" customWidth="1"/>
    <col min="45" max="46" width="10.42578125" style="2" hidden="1" customWidth="1"/>
    <col min="47" max="47" width="4.28515625" style="2" hidden="1" customWidth="1"/>
    <col min="48" max="48" width="7.7109375" style="39" hidden="1" customWidth="1"/>
    <col min="49" max="49" width="6.42578125" style="39" hidden="1" customWidth="1"/>
    <col min="50" max="50" width="5.7109375" style="2" hidden="1" customWidth="1"/>
    <col min="51" max="51" width="3" style="2" hidden="1" customWidth="1"/>
    <col min="52" max="52" width="5.28515625" style="4" hidden="1" customWidth="1"/>
    <col min="53" max="53" width="5" style="4" hidden="1" customWidth="1"/>
    <col min="54" max="54" width="51.7109375" customWidth="1"/>
    <col min="55" max="55" width="0" hidden="1" customWidth="1"/>
  </cols>
  <sheetData>
    <row r="1" spans="2:54" x14ac:dyDescent="0.2">
      <c r="C1" s="307"/>
      <c r="H1" s="248"/>
      <c r="X1" s="178"/>
      <c r="Y1" s="179"/>
      <c r="Z1" s="179" t="s">
        <v>110</v>
      </c>
      <c r="AA1" s="180"/>
      <c r="AD1" s="96">
        <v>0.29166666666666669</v>
      </c>
      <c r="AQ1" s="39" t="s">
        <v>111</v>
      </c>
      <c r="AR1" s="39" t="s">
        <v>112</v>
      </c>
      <c r="AS1" s="39" t="s">
        <v>113</v>
      </c>
      <c r="AT1" s="39" t="s">
        <v>114</v>
      </c>
      <c r="AU1" s="39"/>
      <c r="BB1" s="2"/>
    </row>
    <row r="2" spans="2:54" x14ac:dyDescent="0.2">
      <c r="C2" s="246"/>
      <c r="M2" s="136"/>
      <c r="N2" s="137"/>
      <c r="O2" s="137"/>
      <c r="P2" s="137"/>
      <c r="Q2" s="137"/>
      <c r="R2" s="137"/>
      <c r="S2" s="137"/>
      <c r="T2" s="137"/>
      <c r="U2" s="138"/>
      <c r="V2" s="139"/>
      <c r="X2" s="181" t="s">
        <v>115</v>
      </c>
      <c r="Y2" s="182"/>
      <c r="Z2" s="182" t="s">
        <v>116</v>
      </c>
      <c r="AA2" s="183"/>
      <c r="AC2" s="112"/>
      <c r="AD2" s="96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0"/>
      <c r="M3" s="140"/>
      <c r="N3" s="141"/>
      <c r="O3" s="141"/>
      <c r="P3" s="141"/>
      <c r="Q3" s="141"/>
      <c r="R3" s="141"/>
      <c r="S3" s="141"/>
      <c r="T3" s="141"/>
      <c r="U3" s="142"/>
      <c r="V3" s="143"/>
      <c r="X3" s="253" t="s">
        <v>117</v>
      </c>
      <c r="Y3" s="184"/>
      <c r="Z3" s="253"/>
      <c r="AA3" s="185"/>
      <c r="AD3" s="96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B4" s="277" t="s">
        <v>694</v>
      </c>
      <c r="C4" s="465" t="str">
        <f>Données!F6</f>
        <v>Memento 2022</v>
      </c>
      <c r="G4" s="4" t="s">
        <v>118</v>
      </c>
      <c r="I4" s="4"/>
      <c r="M4" s="386">
        <f>Jan!$G$55</f>
        <v>0</v>
      </c>
      <c r="P4" s="4" t="s">
        <v>119</v>
      </c>
      <c r="Q4" s="4"/>
      <c r="R4" s="4"/>
      <c r="S4" s="4"/>
      <c r="T4" s="4"/>
      <c r="U4" s="199">
        <f>IF(Jan!$H$48="x",Jan!$U$4,Jan!$G$51)</f>
        <v>0</v>
      </c>
      <c r="AV4" s="84"/>
      <c r="AW4" s="84" t="s">
        <v>120</v>
      </c>
      <c r="AX4" s="113">
        <v>0</v>
      </c>
      <c r="AY4" s="113"/>
      <c r="BB4" s="2"/>
    </row>
    <row r="5" spans="2:54" x14ac:dyDescent="0.2">
      <c r="B5" s="81"/>
      <c r="C5" s="82"/>
      <c r="D5" s="83" t="s">
        <v>122</v>
      </c>
      <c r="E5" s="83" t="s">
        <v>123</v>
      </c>
      <c r="F5" s="90" t="s">
        <v>124</v>
      </c>
      <c r="G5" s="91"/>
      <c r="H5" s="90" t="s">
        <v>124</v>
      </c>
      <c r="I5" s="91"/>
      <c r="J5" s="90" t="s">
        <v>124</v>
      </c>
      <c r="K5" s="91"/>
      <c r="L5" s="90" t="s">
        <v>125</v>
      </c>
      <c r="M5" s="91"/>
      <c r="N5" s="84" t="s">
        <v>126</v>
      </c>
      <c r="O5" s="93" t="s">
        <v>127</v>
      </c>
      <c r="P5" s="92"/>
      <c r="Q5" s="90" t="s">
        <v>128</v>
      </c>
      <c r="R5" s="134"/>
      <c r="S5" s="134"/>
      <c r="T5" s="91"/>
      <c r="U5" s="84" t="s">
        <v>129</v>
      </c>
      <c r="V5" s="84" t="s">
        <v>130</v>
      </c>
      <c r="W5" s="84" t="s">
        <v>129</v>
      </c>
      <c r="X5" s="84" t="s">
        <v>129</v>
      </c>
      <c r="Y5" s="300"/>
      <c r="Z5" s="84" t="s">
        <v>131</v>
      </c>
      <c r="AA5" s="301" t="s">
        <v>132</v>
      </c>
      <c r="AB5" s="8" t="s">
        <v>133</v>
      </c>
      <c r="AC5" s="8" t="s">
        <v>134</v>
      </c>
      <c r="AD5" s="8" t="s">
        <v>135</v>
      </c>
      <c r="AE5" s="8" t="s">
        <v>136</v>
      </c>
      <c r="AF5" s="8" t="s">
        <v>137</v>
      </c>
      <c r="AG5" s="8" t="s">
        <v>137</v>
      </c>
      <c r="AH5" s="8" t="s">
        <v>138</v>
      </c>
      <c r="AI5" s="8" t="s">
        <v>139</v>
      </c>
      <c r="AO5" s="4"/>
      <c r="AT5" s="4" t="s">
        <v>140</v>
      </c>
      <c r="AU5" s="4"/>
      <c r="AV5" s="231" t="s">
        <v>141</v>
      </c>
      <c r="AW5" s="231" t="s">
        <v>142</v>
      </c>
      <c r="AX5" s="84" t="s">
        <v>126</v>
      </c>
      <c r="AY5" s="250"/>
      <c r="BB5" s="4"/>
    </row>
    <row r="6" spans="2:54" x14ac:dyDescent="0.2">
      <c r="B6" s="85" t="s">
        <v>143</v>
      </c>
      <c r="C6" s="86" t="s">
        <v>144</v>
      </c>
      <c r="D6" s="87" t="s">
        <v>44</v>
      </c>
      <c r="E6" s="87" t="s">
        <v>145</v>
      </c>
      <c r="F6" s="86" t="s">
        <v>44</v>
      </c>
      <c r="G6" s="86" t="s">
        <v>45</v>
      </c>
      <c r="H6" s="86" t="s">
        <v>44</v>
      </c>
      <c r="I6" s="86" t="s">
        <v>45</v>
      </c>
      <c r="J6" s="86" t="s">
        <v>44</v>
      </c>
      <c r="K6" s="86" t="s">
        <v>45</v>
      </c>
      <c r="L6" s="86" t="s">
        <v>146</v>
      </c>
      <c r="M6" s="86" t="s">
        <v>147</v>
      </c>
      <c r="N6" s="86" t="s">
        <v>148</v>
      </c>
      <c r="O6" s="94" t="s">
        <v>149</v>
      </c>
      <c r="P6" s="95"/>
      <c r="Q6" s="357" t="s">
        <v>150</v>
      </c>
      <c r="R6" s="357" t="s">
        <v>151</v>
      </c>
      <c r="S6" s="357" t="s">
        <v>152</v>
      </c>
      <c r="T6" s="357" t="s">
        <v>153</v>
      </c>
      <c r="U6" s="176" t="s">
        <v>154</v>
      </c>
      <c r="V6" s="86" t="s">
        <v>155</v>
      </c>
      <c r="W6" s="86" t="s">
        <v>156</v>
      </c>
      <c r="X6" s="195" t="s">
        <v>157</v>
      </c>
      <c r="Y6" s="88" t="s">
        <v>131</v>
      </c>
      <c r="Z6" s="86" t="s">
        <v>158</v>
      </c>
      <c r="AA6" s="302" t="s">
        <v>159</v>
      </c>
      <c r="AB6" s="9" t="s">
        <v>160</v>
      </c>
      <c r="AC6" s="9" t="s">
        <v>160</v>
      </c>
      <c r="AD6" s="9" t="s">
        <v>137</v>
      </c>
      <c r="AE6" s="9" t="s">
        <v>161</v>
      </c>
      <c r="AF6" s="9" t="s">
        <v>156</v>
      </c>
      <c r="AG6" s="278" t="s">
        <v>157</v>
      </c>
      <c r="AH6" s="8" t="s">
        <v>137</v>
      </c>
      <c r="AI6" s="8" t="s">
        <v>162</v>
      </c>
      <c r="AJ6" s="56" t="s">
        <v>163</v>
      </c>
      <c r="AK6" s="11" t="s">
        <v>164</v>
      </c>
      <c r="AL6" s="101" t="s">
        <v>165</v>
      </c>
      <c r="AM6" s="10" t="s">
        <v>166</v>
      </c>
      <c r="AN6" s="10" t="s">
        <v>167</v>
      </c>
      <c r="AO6" s="10"/>
      <c r="AP6" s="11" t="s">
        <v>168</v>
      </c>
      <c r="AQ6" s="11" t="s">
        <v>169</v>
      </c>
      <c r="AR6" s="11" t="s">
        <v>170</v>
      </c>
      <c r="AS6" s="11" t="s">
        <v>171</v>
      </c>
      <c r="AT6" s="10" t="s">
        <v>166</v>
      </c>
      <c r="AU6" s="10" t="s">
        <v>172</v>
      </c>
      <c r="AV6" s="232" t="s">
        <v>173</v>
      </c>
      <c r="AW6" s="232" t="s">
        <v>174</v>
      </c>
      <c r="AX6" s="86" t="s">
        <v>148</v>
      </c>
      <c r="AY6" s="251"/>
      <c r="AZ6" s="11"/>
      <c r="BA6" s="11"/>
      <c r="BB6" s="11" t="s">
        <v>175</v>
      </c>
    </row>
    <row r="7" spans="2:54" x14ac:dyDescent="0.2">
      <c r="B7" s="467" t="s">
        <v>176</v>
      </c>
      <c r="C7" s="468" t="s">
        <v>276</v>
      </c>
      <c r="D7" s="469"/>
      <c r="E7" s="469"/>
      <c r="F7" s="470"/>
      <c r="G7" s="470"/>
      <c r="H7" s="470"/>
      <c r="I7" s="470"/>
      <c r="J7" s="470"/>
      <c r="K7" s="470"/>
      <c r="L7" s="471">
        <f>(G7-F7)+(I7-H7)+(K7-J7)+AJ7+AO7</f>
        <v>0</v>
      </c>
      <c r="M7" s="471">
        <f>IF(Jan!H48="x",L7+Jan!M37+M4,L7+M4)</f>
        <v>0</v>
      </c>
      <c r="N7" s="471">
        <f>IF(Jan!$H$48="x",AV7+Jan!$N$37,AV7)</f>
        <v>6.9666666666666632</v>
      </c>
      <c r="O7" s="483" t="str">
        <f>IF((M7-N7-U$4)&lt;0,"-","+")</f>
        <v>-</v>
      </c>
      <c r="P7" s="473">
        <f>ABS(M7-N7-U$4)</f>
        <v>6.9666666666666632</v>
      </c>
      <c r="Q7" s="474">
        <f>AQ7</f>
        <v>0</v>
      </c>
      <c r="R7" s="474">
        <f>AR7</f>
        <v>0</v>
      </c>
      <c r="S7" s="474">
        <f>AS7</f>
        <v>0</v>
      </c>
      <c r="T7" s="474">
        <f>AP7</f>
        <v>0</v>
      </c>
      <c r="U7" s="471">
        <f>IF($Z$3="x",AD7,)</f>
        <v>0</v>
      </c>
      <c r="V7" s="471">
        <f>IF(D7="F",L7,0)</f>
        <v>0</v>
      </c>
      <c r="W7" s="471">
        <f>IF($X$3="x",AF7,)</f>
        <v>0</v>
      </c>
      <c r="X7" s="471">
        <f>IF($X$3="x",AG7,)</f>
        <v>0</v>
      </c>
      <c r="Y7" s="469"/>
      <c r="Z7" s="470"/>
      <c r="AA7" s="470"/>
      <c r="AB7" s="475">
        <f>IF((G7&gt;$AD$3)*AND(F7&lt;=$AD$3),G7-$AD$3,)+IF(F7&gt;$AD$3,G7-F7,)+IF((I7&gt;$AD$3)*AND(H7&lt;=$AD$3),I7-$AD$3,)+IF((H7&gt;$AD$3),I7-H7,)+IF((K7&gt;$AD$3)*AND(J7&lt;=$AD$3),K7-$AD$3,)+IF((J7&gt;$AD$3),K7-J7,)</f>
        <v>0</v>
      </c>
      <c r="AC7" s="475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75">
        <f>AB7+AC7</f>
        <v>0</v>
      </c>
      <c r="AE7" s="475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76">
        <f>AB7-AE7</f>
        <v>0</v>
      </c>
      <c r="AG7" s="475">
        <f>AI7+AE7</f>
        <v>0</v>
      </c>
      <c r="AH7" s="476">
        <f>AD7</f>
        <v>0</v>
      </c>
      <c r="AI7" s="475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77">
        <f>IF((D7&lt;&gt;""),VLOOKUP(D7,Données!$E$36:$H$59,4,FALSE),)</f>
        <v>0</v>
      </c>
      <c r="AK7" s="477">
        <f>IF(V7&gt;0,L7,0)</f>
        <v>0</v>
      </c>
      <c r="AL7" s="478">
        <f>IF(L7&gt;0,D7,0)</f>
        <v>0</v>
      </c>
      <c r="AM7" s="479">
        <f>IF((E7="X")*OR(E7="x"),1,0)</f>
        <v>0</v>
      </c>
      <c r="AN7" s="480">
        <f>IF(D7="F",1,)+IF((D7="JP")*AND(((G7-F7)+(I7-H7)+(K7-J7))&gt;0),1,0)</f>
        <v>0</v>
      </c>
      <c r="AO7" s="477">
        <f>IF((D7="JP")*AND(((G7-F7)+(I7-H7)+(K7-J7))=0),"07:36",0)</f>
        <v>0</v>
      </c>
      <c r="AP7" s="481">
        <f>IF((F7&lt;=$AQ$2)*AND(G7&gt;=$AQ$3),1,)+IF((H7&lt;=$AQ$2)*AND(I7&gt;=$AQ$3),1,)+IF((J7&lt;=$AQ$2)*AND(K7&gt;=$AQ$3),1,)</f>
        <v>0</v>
      </c>
      <c r="AQ7" s="481">
        <f>IF((F7&lt;=$AR$2)*AND(G7&gt;=$AR$3),1,)+IF((H7&lt;=$AR$2)*AND(I7&gt;=$AR$3),1,)+IF((J7&lt;=$AR$2)*AND(K7&gt;=$AR$3),1,)</f>
        <v>0</v>
      </c>
      <c r="AR7" s="481">
        <f>IF((F7&lt;=$AS$2)*AND(G7&gt;=$AS$3),1,)+IF((H7&lt;=$AS$2)*AND(I7&gt;=$AS$3),1,)+IF((J7&lt;=$AS$2)*AND(K7&gt;=$AS$3),1,)</f>
        <v>0</v>
      </c>
      <c r="AS7" s="481">
        <f>IF((F7=$AT$2)*AND(G7&gt;=$AT$3),1,)+IF((H7=$AT$2)*AND(I7&gt;=$AT$3),1,)+IF((J7=$AT$2)*AND(K7&gt;=$AT$3),1,)</f>
        <v>0</v>
      </c>
      <c r="AT7" s="479">
        <f>IF((E7="me")*OR(E7="ME"),1,0)</f>
        <v>0</v>
      </c>
      <c r="AU7" s="479">
        <f>IF((E7="M")*OR(E7="m"),1,0)</f>
        <v>0</v>
      </c>
      <c r="AV7" s="471">
        <f>IF(Données!$H$8="x",AW7,AX7)</f>
        <v>0.31666666666666665</v>
      </c>
      <c r="AW7" s="471">
        <f t="shared" ref="AW7:AW34" si="0">AX7/2</f>
        <v>0.15833333333333333</v>
      </c>
      <c r="AX7" s="471">
        <f>IF(D7="L",AX4,(AX4+"07:36"))</f>
        <v>0.31666666666666665</v>
      </c>
      <c r="AY7" s="467" t="str">
        <f>B7</f>
        <v>Ma</v>
      </c>
      <c r="AZ7" s="478">
        <f>IF((S38="HAU1")*AND(S39&lt;&gt;""),VLOOKUP(S39,Échelle!$Q$5:$R$31,2),)</f>
        <v>0</v>
      </c>
      <c r="BA7" s="479" t="s">
        <v>0</v>
      </c>
      <c r="BB7" s="148"/>
    </row>
    <row r="8" spans="2:54" x14ac:dyDescent="0.2">
      <c r="B8" s="467" t="s">
        <v>178</v>
      </c>
      <c r="C8" s="468" t="s">
        <v>277</v>
      </c>
      <c r="D8" s="469"/>
      <c r="E8" s="469"/>
      <c r="F8" s="470"/>
      <c r="G8" s="470"/>
      <c r="H8" s="470"/>
      <c r="I8" s="470"/>
      <c r="J8" s="470"/>
      <c r="K8" s="470"/>
      <c r="L8" s="471">
        <f>(G8-F8)+(I8-H8)+(K8-J8)+AJ8+AO8</f>
        <v>0</v>
      </c>
      <c r="M8" s="471">
        <f t="shared" ref="M8:M33" si="1">M7+L8</f>
        <v>0</v>
      </c>
      <c r="N8" s="471">
        <f>IF(Jan!$H$48="x",AV8+Jan!$N$37,AV8)</f>
        <v>7.2833333333333297</v>
      </c>
      <c r="O8" s="483" t="str">
        <f t="shared" ref="O8:O34" si="2">IF((M8-N8-U$4)&lt;0,"-","+")</f>
        <v>-</v>
      </c>
      <c r="P8" s="473">
        <f t="shared" ref="P8:P34" si="3">ABS(M8-N8-U$4)</f>
        <v>7.2833333333333297</v>
      </c>
      <c r="Q8" s="474">
        <f t="shared" ref="Q8:Q34" si="4">AQ8</f>
        <v>0</v>
      </c>
      <c r="R8" s="474">
        <f t="shared" ref="R8:R34" si="5">AR8</f>
        <v>0</v>
      </c>
      <c r="S8" s="474">
        <f t="shared" ref="S8:S34" si="6">AS8</f>
        <v>0</v>
      </c>
      <c r="T8" s="474">
        <f t="shared" ref="T8:T34" si="7">AP8</f>
        <v>0</v>
      </c>
      <c r="U8" s="471">
        <f t="shared" ref="U8:U34" si="8">IF($Z$3="x",AD8,)</f>
        <v>0</v>
      </c>
      <c r="V8" s="471">
        <f>IF(D8="F",L8,0)</f>
        <v>0</v>
      </c>
      <c r="W8" s="471">
        <f t="shared" ref="W8:W34" si="9">IF($X$3="x",AF8,)</f>
        <v>0</v>
      </c>
      <c r="X8" s="471">
        <f t="shared" ref="X8:X34" si="10">IF($X$3="x",AG8,)</f>
        <v>0</v>
      </c>
      <c r="Y8" s="469"/>
      <c r="Z8" s="470"/>
      <c r="AA8" s="470"/>
      <c r="AB8" s="475">
        <f>IF((G8&gt;$AD$3)*AND(F8&lt;=$AD$3),G8-$AD$3,)+IF(F8&gt;$AD$3,G8-F8,)+IF((I8&gt;$AD$3)*AND(H8&lt;=$AD$3),I8-$AD$3,)+IF((H8&gt;$AD$3),I8-H8,)+IF((K8&gt;$AD$3)*AND(J8&lt;=$AD$3),K8-$AD$3,)+IF((J8&gt;$AD$3),K8-J8,)</f>
        <v>0</v>
      </c>
      <c r="AC8" s="475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75">
        <f>AB8+AC8</f>
        <v>0</v>
      </c>
      <c r="AE8" s="475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76">
        <f>AB8-AE8</f>
        <v>0</v>
      </c>
      <c r="AG8" s="475">
        <f>AI8+AE8</f>
        <v>0</v>
      </c>
      <c r="AH8" s="476">
        <f>AD8</f>
        <v>0</v>
      </c>
      <c r="AI8" s="475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77">
        <f>IF((D8&lt;&gt;""),VLOOKUP(D8,Données!$E$36:$H$59,4,FALSE),)</f>
        <v>0</v>
      </c>
      <c r="AK8" s="477">
        <f>IF(V8&gt;0,L8,0)</f>
        <v>0</v>
      </c>
      <c r="AL8" s="478">
        <f>IF(L8&gt;0,D8,0)</f>
        <v>0</v>
      </c>
      <c r="AM8" s="479">
        <f>IF((E8="X")*OR(E8="x"),1,0)</f>
        <v>0</v>
      </c>
      <c r="AN8" s="480">
        <f t="shared" ref="AN8:AN34" si="11">IF(D8="F",1,)+IF((D8="JP")*AND(((G8-F8)+(I8-H8)+(K8-J8))&gt;0),1,0)</f>
        <v>0</v>
      </c>
      <c r="AO8" s="477">
        <f t="shared" ref="AO8:AO34" si="12">IF((D8="JP")*AND(((G8-F8)+(I8-H8)+(K8-J8))=0),"07:36",0)</f>
        <v>0</v>
      </c>
      <c r="AP8" s="481">
        <f>IF((F8&lt;=$AQ$2)*AND(G8&gt;=$AQ$3),1,)+IF((H8&lt;=$AQ$2)*AND(I8&gt;=$AQ$3),1,)+IF((J8&lt;=$AQ$2)*AND(K8&gt;=$AQ$3),1,)</f>
        <v>0</v>
      </c>
      <c r="AQ8" s="481">
        <f>IF((F8&lt;=$AR$2)*AND(G8&gt;=$AR$3),1,)+IF((H8&lt;=$AR$2)*AND(I8&gt;=$AR$3),1,)+IF((J8&lt;=$AR$2)*AND(K8&gt;=$AR$3),1,)</f>
        <v>0</v>
      </c>
      <c r="AR8" s="481">
        <f>IF((F8&lt;=$AS$2)*AND(G8&gt;=$AS$3),1,)+IF((H8&lt;=$AS$2)*AND(I8&gt;=$AS$3),1,)+IF((J8&lt;=$AS$2)*AND(K8&gt;=$AS$3),1,)</f>
        <v>0</v>
      </c>
      <c r="AS8" s="481">
        <f>IF((F8=$AT$2)*AND(G8&gt;=$AT$3),1,)+IF((H8=$AT$2)*AND(I8&gt;=$AT$3),1,)+IF((J8=$AT$2)*AND(K8&gt;=$AT$3),1,)</f>
        <v>0</v>
      </c>
      <c r="AT8" s="479">
        <f t="shared" ref="AT8:AT34" si="13">IF((E8="me")*OR(E8="ME"),1,0)</f>
        <v>0</v>
      </c>
      <c r="AU8" s="479">
        <f t="shared" ref="AU8:AU34" si="14">IF((E8="M")*OR(E8="m"),1,0)</f>
        <v>0</v>
      </c>
      <c r="AV8" s="471">
        <f>IF(Données!$H$8="x",AW8,AX8)</f>
        <v>0.6333333333333333</v>
      </c>
      <c r="AW8" s="471">
        <f t="shared" si="0"/>
        <v>0.31666666666666665</v>
      </c>
      <c r="AX8" s="471">
        <f>IF(D8="L",AX7,(AX7+"07:36"))</f>
        <v>0.6333333333333333</v>
      </c>
      <c r="AY8" s="467" t="str">
        <f t="shared" ref="AY8:AY34" si="15">B8</f>
        <v>Me</v>
      </c>
      <c r="AZ8" s="478">
        <f>IF((S38="HAU2")*AND(S39&lt;&gt;""),VLOOKUP(S39,Échelle!$T$5:$U$31,2),)</f>
        <v>0</v>
      </c>
      <c r="BA8" s="479" t="s">
        <v>1</v>
      </c>
      <c r="BB8" s="148"/>
    </row>
    <row r="9" spans="2:54" x14ac:dyDescent="0.2">
      <c r="B9" s="467" t="s">
        <v>180</v>
      </c>
      <c r="C9" s="468" t="s">
        <v>278</v>
      </c>
      <c r="D9" s="469"/>
      <c r="E9" s="469"/>
      <c r="F9" s="470"/>
      <c r="G9" s="470"/>
      <c r="H9" s="470"/>
      <c r="I9" s="470"/>
      <c r="J9" s="470"/>
      <c r="K9" s="470"/>
      <c r="L9" s="471">
        <f>(G9-F9)+(I9-H9)+(K9-J9)+AJ9+AO9</f>
        <v>0</v>
      </c>
      <c r="M9" s="471">
        <f t="shared" si="1"/>
        <v>0</v>
      </c>
      <c r="N9" s="471">
        <f>IF(Jan!$H$48="x",AV9+Jan!$N$37,AV9)</f>
        <v>7.599999999999997</v>
      </c>
      <c r="O9" s="483" t="str">
        <f t="shared" si="2"/>
        <v>-</v>
      </c>
      <c r="P9" s="473">
        <f t="shared" si="3"/>
        <v>7.599999999999997</v>
      </c>
      <c r="Q9" s="474">
        <f t="shared" si="4"/>
        <v>0</v>
      </c>
      <c r="R9" s="474">
        <f t="shared" si="5"/>
        <v>0</v>
      </c>
      <c r="S9" s="474">
        <f t="shared" si="6"/>
        <v>0</v>
      </c>
      <c r="T9" s="474">
        <f t="shared" si="7"/>
        <v>0</v>
      </c>
      <c r="U9" s="471">
        <f t="shared" si="8"/>
        <v>0</v>
      </c>
      <c r="V9" s="471">
        <f>IF(D9="F",L9,0)</f>
        <v>0</v>
      </c>
      <c r="W9" s="471">
        <f t="shared" si="9"/>
        <v>0</v>
      </c>
      <c r="X9" s="471">
        <f t="shared" si="10"/>
        <v>0</v>
      </c>
      <c r="Y9" s="469"/>
      <c r="Z9" s="470"/>
      <c r="AA9" s="470"/>
      <c r="AB9" s="475">
        <f t="shared" ref="AB9:AB34" si="16">IF((G9&gt;$AD$3)*AND(F9&lt;=$AD$3),G9-$AD$3,)+IF(F9&gt;$AD$3,G9-F9,)+IF((I9&gt;$AD$3)*AND(H9&lt;=$AD$3),I9-$AD$3,)+IF((H9&gt;$AD$3),I9-H9,)+IF((K9&gt;$AD$3)*AND(J9&lt;=$AD$3),K9-$AD$3,)+IF((J9&gt;$AD$3),K9-J9,)</f>
        <v>0</v>
      </c>
      <c r="AC9" s="475">
        <f t="shared" ref="AC9:AC34" si="17">IF((G9&gt;=$AD$1)*AND(F9&lt;$AD$1),($AD$1)-F9,)+IF((G9&lt;$AD$1),G9-F9,)+IF((I9&gt;=$AD$1)*AND(H9&lt;$AD$1),($AD$1)-H9,)+IF((I9&lt;$AD$1),I9-H9,)+IF((K9&gt;=$AD$1)*AND(J9&lt;$AD$1),($AD$1)-J9,)+IF((K9&lt;$AD$1),K9-J9,)</f>
        <v>0</v>
      </c>
      <c r="AD9" s="475">
        <f t="shared" ref="AD9:AD34" si="18">AB9+AC9</f>
        <v>0</v>
      </c>
      <c r="AE9" s="475">
        <f t="shared" ref="AE9:AE34" si="19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76">
        <f t="shared" ref="AF9:AF34" si="20">AB9-AE9</f>
        <v>0</v>
      </c>
      <c r="AG9" s="475">
        <f t="shared" ref="AG9:AG34" si="21">AI9+AE9</f>
        <v>0</v>
      </c>
      <c r="AH9" s="476">
        <f t="shared" ref="AH9:AH34" si="22">AD9</f>
        <v>0</v>
      </c>
      <c r="AI9" s="475">
        <f t="shared" ref="AI9:AI34" si="23">IF((G9&gt;=$AD$2)*AND(F9&lt;$AD$2),($AD$2)-F9,)+IF((G9&lt;$AD$2),G9-F9,)+IF((I9&gt;=$AD$2)*AND(H9&lt;$AD$2),($AD$2)-H9,)+IF((I9&lt;$AD$2),I9-H9,)+IF((K9&gt;=$AD$2)*AND(J9&lt;$AD$2),($AD$2)-J9,)+IF((K9&lt;$AD$2),K9-J9,)</f>
        <v>0</v>
      </c>
      <c r="AJ9" s="477">
        <f>IF((D9&lt;&gt;""),VLOOKUP(D9,Données!$E$36:$H$59,4,FALSE),)</f>
        <v>0</v>
      </c>
      <c r="AK9" s="477">
        <f>IF(V9&gt;0,L9,0)</f>
        <v>0</v>
      </c>
      <c r="AL9" s="478">
        <f>IF(L9&gt;0,D9,0)</f>
        <v>0</v>
      </c>
      <c r="AM9" s="479">
        <f>IF((E9="X")*OR(E9="x"),1,0)</f>
        <v>0</v>
      </c>
      <c r="AN9" s="480">
        <f t="shared" si="11"/>
        <v>0</v>
      </c>
      <c r="AO9" s="477">
        <f t="shared" si="12"/>
        <v>0</v>
      </c>
      <c r="AP9" s="481">
        <f>IF((F9&lt;=$AQ$2)*AND(G9&gt;=$AQ$3),1,)+IF((H9&lt;=$AQ$2)*AND(I9&gt;=$AQ$3),1,)+IF((J9&lt;=$AQ$2)*AND(K9&gt;=$AQ$3),1,)</f>
        <v>0</v>
      </c>
      <c r="AQ9" s="481">
        <f>IF((F9&lt;=$AR$2)*AND(G9&gt;=$AR$3),1,)+IF((H9&lt;=$AR$2)*AND(I9&gt;=$AR$3),1,)+IF((J9&lt;=$AR$2)*AND(K9&gt;=$AR$3),1,)</f>
        <v>0</v>
      </c>
      <c r="AR9" s="481">
        <f>IF((F9&lt;=$AS$2)*AND(G9&gt;=$AS$3),1,)+IF((H9&lt;=$AS$2)*AND(I9&gt;=$AS$3),1,)+IF((J9&lt;=$AS$2)*AND(K9&gt;=$AS$3),1,)</f>
        <v>0</v>
      </c>
      <c r="AS9" s="481">
        <f>IF((F9=$AT$2)*AND(G9&gt;=$AT$3),1,)+IF((H9=$AT$2)*AND(I9&gt;=$AT$3),1,)+IF((J9=$AT$2)*AND(K9&gt;=$AT$3),1,)</f>
        <v>0</v>
      </c>
      <c r="AT9" s="479">
        <f t="shared" si="13"/>
        <v>0</v>
      </c>
      <c r="AU9" s="479">
        <f t="shared" si="14"/>
        <v>0</v>
      </c>
      <c r="AV9" s="471">
        <f>IF(Données!$H$8="x",AW9,AX9)</f>
        <v>0.95</v>
      </c>
      <c r="AW9" s="471">
        <f t="shared" si="0"/>
        <v>0.47499999999999998</v>
      </c>
      <c r="AX9" s="471">
        <f>IF(D9="L",AX8,(AX8+"07:36"))</f>
        <v>0.95</v>
      </c>
      <c r="AY9" s="467" t="str">
        <f t="shared" si="15"/>
        <v>Je</v>
      </c>
      <c r="AZ9" s="478">
        <f>IF((S38="HAU3")*AND(S39&lt;&gt;""),VLOOKUP(S39,Échelle!$W$5:$X$31,2),)</f>
        <v>0</v>
      </c>
      <c r="BA9" s="479" t="s">
        <v>2</v>
      </c>
      <c r="BB9" s="148"/>
    </row>
    <row r="10" spans="2:54" x14ac:dyDescent="0.2">
      <c r="B10" s="467" t="s">
        <v>182</v>
      </c>
      <c r="C10" s="468" t="s">
        <v>279</v>
      </c>
      <c r="D10" s="469"/>
      <c r="E10" s="469"/>
      <c r="F10" s="470"/>
      <c r="G10" s="470"/>
      <c r="H10" s="470"/>
      <c r="I10" s="470"/>
      <c r="J10" s="470"/>
      <c r="K10" s="470"/>
      <c r="L10" s="471">
        <f>(G10-F10)+(I10-H10)+(K10-J10)+AJ10+AO10</f>
        <v>0</v>
      </c>
      <c r="M10" s="471">
        <f t="shared" si="1"/>
        <v>0</v>
      </c>
      <c r="N10" s="471">
        <f>IF(Jan!$H$48="x",AV10+Jan!$N$37,AV10)</f>
        <v>7.9166666666666634</v>
      </c>
      <c r="O10" s="483" t="str">
        <f t="shared" si="2"/>
        <v>-</v>
      </c>
      <c r="P10" s="473">
        <f t="shared" si="3"/>
        <v>7.9166666666666634</v>
      </c>
      <c r="Q10" s="474">
        <f t="shared" si="4"/>
        <v>0</v>
      </c>
      <c r="R10" s="474">
        <f t="shared" si="5"/>
        <v>0</v>
      </c>
      <c r="S10" s="474">
        <f t="shared" si="6"/>
        <v>0</v>
      </c>
      <c r="T10" s="474">
        <f t="shared" si="7"/>
        <v>0</v>
      </c>
      <c r="U10" s="471">
        <f t="shared" si="8"/>
        <v>0</v>
      </c>
      <c r="V10" s="471">
        <f>IF(D10="F",L10,0)</f>
        <v>0</v>
      </c>
      <c r="W10" s="471">
        <f t="shared" si="9"/>
        <v>0</v>
      </c>
      <c r="X10" s="471">
        <f t="shared" si="10"/>
        <v>0</v>
      </c>
      <c r="Y10" s="469"/>
      <c r="Z10" s="470"/>
      <c r="AA10" s="470"/>
      <c r="AB10" s="475">
        <f t="shared" si="16"/>
        <v>0</v>
      </c>
      <c r="AC10" s="475">
        <f t="shared" si="17"/>
        <v>0</v>
      </c>
      <c r="AD10" s="475">
        <f t="shared" si="18"/>
        <v>0</v>
      </c>
      <c r="AE10" s="475">
        <f t="shared" si="19"/>
        <v>0</v>
      </c>
      <c r="AF10" s="476">
        <f t="shared" si="20"/>
        <v>0</v>
      </c>
      <c r="AG10" s="475">
        <f t="shared" si="21"/>
        <v>0</v>
      </c>
      <c r="AH10" s="476">
        <f t="shared" si="22"/>
        <v>0</v>
      </c>
      <c r="AI10" s="475">
        <f t="shared" si="23"/>
        <v>0</v>
      </c>
      <c r="AJ10" s="477">
        <f>IF((D10&lt;&gt;""),VLOOKUP(D10,Données!$E$36:$H$59,4,FALSE),)</f>
        <v>0</v>
      </c>
      <c r="AK10" s="477">
        <f t="shared" ref="AK10:AK34" si="24">IF(V10&gt;0,L10,0)</f>
        <v>0</v>
      </c>
      <c r="AL10" s="478">
        <f t="shared" ref="AL10:AL34" si="25">IF(L10&gt;0,D10,0)</f>
        <v>0</v>
      </c>
      <c r="AM10" s="479">
        <f t="shared" ref="AM10:AM34" si="26">IF((E10="X")*OR(E10="x"),1,0)</f>
        <v>0</v>
      </c>
      <c r="AN10" s="480">
        <f t="shared" si="11"/>
        <v>0</v>
      </c>
      <c r="AO10" s="477">
        <f t="shared" si="12"/>
        <v>0</v>
      </c>
      <c r="AP10" s="481">
        <f t="shared" ref="AP10:AP34" si="27">IF((F10&lt;=$AQ$2)*AND(G10&gt;=$AQ$3),1,)+IF((H10&lt;=$AQ$2)*AND(I10&gt;=$AQ$3),1,)+IF((J10&lt;=$AQ$2)*AND(K10&gt;=$AQ$3),1,)</f>
        <v>0</v>
      </c>
      <c r="AQ10" s="481">
        <f t="shared" ref="AQ10:AQ34" si="28">IF((F10&lt;=$AR$2)*AND(G10&gt;=$AR$3),1,)+IF((H10&lt;=$AR$2)*AND(I10&gt;=$AR$3),1,)+IF((J10&lt;=$AR$2)*AND(K10&gt;=$AR$3),1,)</f>
        <v>0</v>
      </c>
      <c r="AR10" s="481">
        <f t="shared" ref="AR10:AR34" si="29">IF((F10&lt;=$AS$2)*AND(G10&gt;=$AS$3),1,)+IF((H10&lt;=$AS$2)*AND(I10&gt;=$AS$3),1,)+IF((J10&lt;=$AS$2)*AND(K10&gt;=$AS$3),1,)</f>
        <v>0</v>
      </c>
      <c r="AS10" s="481">
        <f t="shared" ref="AS10:AS34" si="30">IF((F10=$AT$2)*AND(G10&gt;=$AT$3),1,)+IF((H10=$AT$2)*AND(I10&gt;=$AT$3),1,)+IF((J10=$AT$2)*AND(K10&gt;=$AT$3),1,)</f>
        <v>0</v>
      </c>
      <c r="AT10" s="479">
        <f t="shared" si="13"/>
        <v>0</v>
      </c>
      <c r="AU10" s="479">
        <f t="shared" si="14"/>
        <v>0</v>
      </c>
      <c r="AV10" s="471">
        <f>IF(Données!$H$8="x",AW10,AX10)</f>
        <v>1.2666666666666666</v>
      </c>
      <c r="AW10" s="471">
        <f t="shared" si="0"/>
        <v>0.6333333333333333</v>
      </c>
      <c r="AX10" s="471">
        <f>IF(D10="L",AX9,(AX9+"07:36"))</f>
        <v>1.2666666666666666</v>
      </c>
      <c r="AY10" s="467" t="str">
        <f t="shared" si="15"/>
        <v>Ve</v>
      </c>
      <c r="AZ10" s="478">
        <f>IF((S38="B1")*AND(S39&lt;&gt;""),VLOOKUP(S39,Échelle!$Z$5:$AA$31,2),)</f>
        <v>0</v>
      </c>
      <c r="BA10" s="479" t="s">
        <v>3</v>
      </c>
      <c r="BB10" s="148"/>
    </row>
    <row r="11" spans="2:54" x14ac:dyDescent="0.2">
      <c r="B11" s="403" t="s">
        <v>184</v>
      </c>
      <c r="C11" s="412" t="s">
        <v>280</v>
      </c>
      <c r="D11" s="411"/>
      <c r="E11" s="411"/>
      <c r="F11" s="401"/>
      <c r="G11" s="401"/>
      <c r="H11" s="401"/>
      <c r="I11" s="401"/>
      <c r="J11" s="401"/>
      <c r="K11" s="401"/>
      <c r="L11" s="402">
        <f>(G11-F11)+(I11-H11)+(K11-J11)</f>
        <v>0</v>
      </c>
      <c r="M11" s="402">
        <f>M10+L11</f>
        <v>0</v>
      </c>
      <c r="N11" s="402">
        <f>IF(Jan!$H$48="x",AV11+Jan!$N$37,AV11)</f>
        <v>7.9166666666666634</v>
      </c>
      <c r="O11" s="408" t="str">
        <f t="shared" si="2"/>
        <v>-</v>
      </c>
      <c r="P11" s="413">
        <f t="shared" si="3"/>
        <v>7.9166666666666634</v>
      </c>
      <c r="Q11" s="410">
        <f t="shared" si="4"/>
        <v>0</v>
      </c>
      <c r="R11" s="410">
        <f t="shared" si="5"/>
        <v>0</v>
      </c>
      <c r="S11" s="410">
        <f t="shared" si="6"/>
        <v>0</v>
      </c>
      <c r="T11" s="410">
        <f t="shared" si="7"/>
        <v>0</v>
      </c>
      <c r="U11" s="402">
        <f t="shared" si="8"/>
        <v>0</v>
      </c>
      <c r="V11" s="402">
        <f>L11</f>
        <v>0</v>
      </c>
      <c r="W11" s="402">
        <f t="shared" si="9"/>
        <v>0</v>
      </c>
      <c r="X11" s="402">
        <f t="shared" si="10"/>
        <v>0</v>
      </c>
      <c r="Y11" s="411"/>
      <c r="Z11" s="401"/>
      <c r="AA11" s="401"/>
      <c r="AB11" s="420">
        <f t="shared" si="16"/>
        <v>0</v>
      </c>
      <c r="AC11" s="420">
        <f t="shared" si="17"/>
        <v>0</v>
      </c>
      <c r="AD11" s="420">
        <f t="shared" si="18"/>
        <v>0</v>
      </c>
      <c r="AE11" s="420">
        <f t="shared" si="19"/>
        <v>0</v>
      </c>
      <c r="AF11" s="421">
        <f t="shared" si="20"/>
        <v>0</v>
      </c>
      <c r="AG11" s="420">
        <f t="shared" si="21"/>
        <v>0</v>
      </c>
      <c r="AH11" s="421">
        <f t="shared" si="22"/>
        <v>0</v>
      </c>
      <c r="AI11" s="420">
        <f t="shared" si="23"/>
        <v>0</v>
      </c>
      <c r="AJ11" s="422">
        <f>IF((D11&lt;&gt;""),VLOOKUP(D11,Données!$E$36:$H$59,4,FALSE),)</f>
        <v>0</v>
      </c>
      <c r="AK11" s="422">
        <f t="shared" si="24"/>
        <v>0</v>
      </c>
      <c r="AL11" s="423">
        <f t="shared" si="25"/>
        <v>0</v>
      </c>
      <c r="AM11" s="424">
        <f t="shared" si="26"/>
        <v>0</v>
      </c>
      <c r="AN11" s="425">
        <f t="shared" si="11"/>
        <v>0</v>
      </c>
      <c r="AO11" s="422">
        <f t="shared" si="12"/>
        <v>0</v>
      </c>
      <c r="AP11" s="426">
        <f t="shared" si="27"/>
        <v>0</v>
      </c>
      <c r="AQ11" s="426">
        <f t="shared" si="28"/>
        <v>0</v>
      </c>
      <c r="AR11" s="426">
        <f t="shared" si="29"/>
        <v>0</v>
      </c>
      <c r="AS11" s="426">
        <f t="shared" si="30"/>
        <v>0</v>
      </c>
      <c r="AT11" s="424">
        <f t="shared" si="13"/>
        <v>0</v>
      </c>
      <c r="AU11" s="424">
        <f t="shared" si="14"/>
        <v>0</v>
      </c>
      <c r="AV11" s="402">
        <f>IF(Données!$H$8="x",AW11,AX11)</f>
        <v>1.2666666666666666</v>
      </c>
      <c r="AW11" s="402">
        <f t="shared" si="0"/>
        <v>0.6333333333333333</v>
      </c>
      <c r="AX11" s="402">
        <f>AX10</f>
        <v>1.2666666666666666</v>
      </c>
      <c r="AY11" s="403" t="str">
        <f t="shared" si="15"/>
        <v>Sa</v>
      </c>
      <c r="AZ11" s="423">
        <f>IF((S38="B2")*AND(S39&lt;&gt;""),VLOOKUP(S39,Échelle!$AC$5:$AD$31,2),)</f>
        <v>0</v>
      </c>
      <c r="BA11" s="424" t="s">
        <v>4</v>
      </c>
      <c r="BB11" s="148"/>
    </row>
    <row r="12" spans="2:54" x14ac:dyDescent="0.2">
      <c r="B12" s="403" t="s">
        <v>186</v>
      </c>
      <c r="C12" s="412" t="s">
        <v>281</v>
      </c>
      <c r="D12" s="411"/>
      <c r="E12" s="411"/>
      <c r="F12" s="401"/>
      <c r="G12" s="401"/>
      <c r="H12" s="401"/>
      <c r="I12" s="401"/>
      <c r="J12" s="401"/>
      <c r="K12" s="401"/>
      <c r="L12" s="402">
        <f>(G12-F12)+(I12-H12)+(K12-J12)</f>
        <v>0</v>
      </c>
      <c r="M12" s="402">
        <f t="shared" si="1"/>
        <v>0</v>
      </c>
      <c r="N12" s="402">
        <f>IF(Jan!$H$48="x",AV12+Jan!$N$37,AV12)</f>
        <v>7.9166666666666634</v>
      </c>
      <c r="O12" s="408" t="str">
        <f t="shared" si="2"/>
        <v>-</v>
      </c>
      <c r="P12" s="413">
        <f t="shared" si="3"/>
        <v>7.9166666666666634</v>
      </c>
      <c r="Q12" s="410">
        <f t="shared" si="4"/>
        <v>0</v>
      </c>
      <c r="R12" s="410">
        <f t="shared" si="5"/>
        <v>0</v>
      </c>
      <c r="S12" s="410">
        <f t="shared" si="6"/>
        <v>0</v>
      </c>
      <c r="T12" s="410">
        <f t="shared" si="7"/>
        <v>0</v>
      </c>
      <c r="U12" s="402">
        <f t="shared" si="8"/>
        <v>0</v>
      </c>
      <c r="V12" s="402">
        <f>L12</f>
        <v>0</v>
      </c>
      <c r="W12" s="402">
        <f t="shared" si="9"/>
        <v>0</v>
      </c>
      <c r="X12" s="402">
        <f t="shared" si="10"/>
        <v>0</v>
      </c>
      <c r="Y12" s="411"/>
      <c r="Z12" s="401"/>
      <c r="AA12" s="401"/>
      <c r="AB12" s="420">
        <f t="shared" si="16"/>
        <v>0</v>
      </c>
      <c r="AC12" s="420">
        <f t="shared" si="17"/>
        <v>0</v>
      </c>
      <c r="AD12" s="420">
        <f t="shared" si="18"/>
        <v>0</v>
      </c>
      <c r="AE12" s="420">
        <f t="shared" si="19"/>
        <v>0</v>
      </c>
      <c r="AF12" s="421">
        <f t="shared" si="20"/>
        <v>0</v>
      </c>
      <c r="AG12" s="420">
        <f t="shared" si="21"/>
        <v>0</v>
      </c>
      <c r="AH12" s="421">
        <f t="shared" si="22"/>
        <v>0</v>
      </c>
      <c r="AI12" s="420">
        <f t="shared" si="23"/>
        <v>0</v>
      </c>
      <c r="AJ12" s="422">
        <f>IF((D12&lt;&gt;""),VLOOKUP(D12,Données!$E$36:$H$59,4,FALSE),)</f>
        <v>0</v>
      </c>
      <c r="AK12" s="422">
        <f t="shared" si="24"/>
        <v>0</v>
      </c>
      <c r="AL12" s="423">
        <f t="shared" si="25"/>
        <v>0</v>
      </c>
      <c r="AM12" s="424">
        <f t="shared" si="26"/>
        <v>0</v>
      </c>
      <c r="AN12" s="425">
        <f t="shared" si="11"/>
        <v>0</v>
      </c>
      <c r="AO12" s="422">
        <f t="shared" si="12"/>
        <v>0</v>
      </c>
      <c r="AP12" s="426">
        <f t="shared" si="27"/>
        <v>0</v>
      </c>
      <c r="AQ12" s="426">
        <f t="shared" si="28"/>
        <v>0</v>
      </c>
      <c r="AR12" s="426">
        <f t="shared" si="29"/>
        <v>0</v>
      </c>
      <c r="AS12" s="426">
        <f t="shared" si="30"/>
        <v>0</v>
      </c>
      <c r="AT12" s="424">
        <f t="shared" si="13"/>
        <v>0</v>
      </c>
      <c r="AU12" s="424">
        <f t="shared" si="14"/>
        <v>0</v>
      </c>
      <c r="AV12" s="402">
        <f>IF(Données!$H$8="x",AW12,AX12)</f>
        <v>1.2666666666666666</v>
      </c>
      <c r="AW12" s="402">
        <f t="shared" si="0"/>
        <v>0.6333333333333333</v>
      </c>
      <c r="AX12" s="402">
        <f>AX11</f>
        <v>1.2666666666666666</v>
      </c>
      <c r="AY12" s="403" t="str">
        <f t="shared" si="15"/>
        <v>Di</v>
      </c>
      <c r="AZ12" s="423">
        <f>IF((S38="B3")*AND(S39&lt;&gt;""),VLOOKUP(S39,Échelle!$AF$5:$AG$31,2),)</f>
        <v>0</v>
      </c>
      <c r="BA12" s="424" t="s">
        <v>5</v>
      </c>
      <c r="BB12" s="148"/>
    </row>
    <row r="13" spans="2:54" x14ac:dyDescent="0.2">
      <c r="B13" s="467" t="s">
        <v>188</v>
      </c>
      <c r="C13" s="468" t="s">
        <v>282</v>
      </c>
      <c r="D13" s="469"/>
      <c r="E13" s="469"/>
      <c r="F13" s="470"/>
      <c r="G13" s="470"/>
      <c r="H13" s="470"/>
      <c r="I13" s="470"/>
      <c r="J13" s="470"/>
      <c r="K13" s="470"/>
      <c r="L13" s="471">
        <f>(G13-F13)+(I13-H13)+(K13-J13)+AJ13+AO13</f>
        <v>0</v>
      </c>
      <c r="M13" s="471">
        <f t="shared" si="1"/>
        <v>0</v>
      </c>
      <c r="N13" s="471">
        <f>IF(Jan!$H$48="x",AV13+Jan!$N$37,AV13)</f>
        <v>8.2333333333333307</v>
      </c>
      <c r="O13" s="483" t="str">
        <f t="shared" si="2"/>
        <v>-</v>
      </c>
      <c r="P13" s="473">
        <f t="shared" si="3"/>
        <v>8.2333333333333307</v>
      </c>
      <c r="Q13" s="474">
        <f t="shared" si="4"/>
        <v>0</v>
      </c>
      <c r="R13" s="474">
        <f t="shared" si="5"/>
        <v>0</v>
      </c>
      <c r="S13" s="474">
        <f t="shared" si="6"/>
        <v>0</v>
      </c>
      <c r="T13" s="474">
        <f t="shared" si="7"/>
        <v>0</v>
      </c>
      <c r="U13" s="471">
        <f t="shared" si="8"/>
        <v>0</v>
      </c>
      <c r="V13" s="471">
        <f>IF(D13="F",L13,0)</f>
        <v>0</v>
      </c>
      <c r="W13" s="471">
        <f t="shared" si="9"/>
        <v>0</v>
      </c>
      <c r="X13" s="471">
        <f t="shared" si="10"/>
        <v>0</v>
      </c>
      <c r="Y13" s="469"/>
      <c r="Z13" s="470"/>
      <c r="AA13" s="470"/>
      <c r="AB13" s="475">
        <f t="shared" si="16"/>
        <v>0</v>
      </c>
      <c r="AC13" s="475">
        <f t="shared" si="17"/>
        <v>0</v>
      </c>
      <c r="AD13" s="475">
        <f t="shared" si="18"/>
        <v>0</v>
      </c>
      <c r="AE13" s="475">
        <f t="shared" si="19"/>
        <v>0</v>
      </c>
      <c r="AF13" s="476">
        <f t="shared" si="20"/>
        <v>0</v>
      </c>
      <c r="AG13" s="475">
        <f t="shared" si="21"/>
        <v>0</v>
      </c>
      <c r="AH13" s="476">
        <f t="shared" si="22"/>
        <v>0</v>
      </c>
      <c r="AI13" s="475">
        <f t="shared" si="23"/>
        <v>0</v>
      </c>
      <c r="AJ13" s="477">
        <f>IF((D13&lt;&gt;""),VLOOKUP(D13,Données!$E$36:$H$59,4,FALSE),)</f>
        <v>0</v>
      </c>
      <c r="AK13" s="477">
        <f t="shared" si="24"/>
        <v>0</v>
      </c>
      <c r="AL13" s="478">
        <f t="shared" si="25"/>
        <v>0</v>
      </c>
      <c r="AM13" s="479">
        <f t="shared" si="26"/>
        <v>0</v>
      </c>
      <c r="AN13" s="480">
        <f t="shared" si="11"/>
        <v>0</v>
      </c>
      <c r="AO13" s="477">
        <f t="shared" si="12"/>
        <v>0</v>
      </c>
      <c r="AP13" s="481">
        <f t="shared" si="27"/>
        <v>0</v>
      </c>
      <c r="AQ13" s="481">
        <f t="shared" si="28"/>
        <v>0</v>
      </c>
      <c r="AR13" s="481">
        <f t="shared" si="29"/>
        <v>0</v>
      </c>
      <c r="AS13" s="481">
        <f t="shared" si="30"/>
        <v>0</v>
      </c>
      <c r="AT13" s="479">
        <f t="shared" si="13"/>
        <v>0</v>
      </c>
      <c r="AU13" s="479">
        <f t="shared" si="14"/>
        <v>0</v>
      </c>
      <c r="AV13" s="471">
        <f>IF(Données!$H$8="x",AW13,AX13)</f>
        <v>1.5833333333333333</v>
      </c>
      <c r="AW13" s="471">
        <f t="shared" si="0"/>
        <v>0.79166666666666663</v>
      </c>
      <c r="AX13" s="471">
        <f t="shared" ref="AX13:AX17" si="31">IF(D13="L",AX12,(AX12+"07:36"))</f>
        <v>1.5833333333333333</v>
      </c>
      <c r="AY13" s="467" t="str">
        <f t="shared" si="15"/>
        <v>Lu</v>
      </c>
      <c r="AZ13" s="478">
        <f>IF((S38="B4")*AND(S39&lt;&gt;""),VLOOKUP(S39,Échelle!$AI$5:$AJ$34,2),)</f>
        <v>24661</v>
      </c>
      <c r="BA13" s="479" t="s">
        <v>6</v>
      </c>
      <c r="BB13" s="148"/>
    </row>
    <row r="14" spans="2:54" x14ac:dyDescent="0.2">
      <c r="B14" s="467" t="s">
        <v>176</v>
      </c>
      <c r="C14" s="468" t="s">
        <v>283</v>
      </c>
      <c r="D14" s="469"/>
      <c r="E14" s="469"/>
      <c r="F14" s="470"/>
      <c r="G14" s="470"/>
      <c r="H14" s="470"/>
      <c r="I14" s="470"/>
      <c r="J14" s="470"/>
      <c r="K14" s="470"/>
      <c r="L14" s="471">
        <f>(G14-F14)+(I14-H14)+(K14-J14)+AJ14+AO14</f>
        <v>0</v>
      </c>
      <c r="M14" s="471">
        <f t="shared" si="1"/>
        <v>0</v>
      </c>
      <c r="N14" s="471">
        <f>IF(Jan!$H$48="x",AV14+Jan!$N$37,AV14)</f>
        <v>8.5499999999999972</v>
      </c>
      <c r="O14" s="483" t="str">
        <f t="shared" si="2"/>
        <v>-</v>
      </c>
      <c r="P14" s="473">
        <f t="shared" si="3"/>
        <v>8.5499999999999972</v>
      </c>
      <c r="Q14" s="474">
        <f t="shared" si="4"/>
        <v>0</v>
      </c>
      <c r="R14" s="474">
        <f t="shared" si="5"/>
        <v>0</v>
      </c>
      <c r="S14" s="474">
        <f t="shared" si="6"/>
        <v>0</v>
      </c>
      <c r="T14" s="474">
        <f t="shared" si="7"/>
        <v>0</v>
      </c>
      <c r="U14" s="471">
        <f t="shared" si="8"/>
        <v>0</v>
      </c>
      <c r="V14" s="471">
        <f>IF(D14="F",L14,0)</f>
        <v>0</v>
      </c>
      <c r="W14" s="471">
        <f t="shared" si="9"/>
        <v>0</v>
      </c>
      <c r="X14" s="471">
        <f t="shared" si="10"/>
        <v>0</v>
      </c>
      <c r="Y14" s="469"/>
      <c r="Z14" s="470"/>
      <c r="AA14" s="470"/>
      <c r="AB14" s="475">
        <f t="shared" si="16"/>
        <v>0</v>
      </c>
      <c r="AC14" s="475">
        <f t="shared" si="17"/>
        <v>0</v>
      </c>
      <c r="AD14" s="475">
        <f t="shared" si="18"/>
        <v>0</v>
      </c>
      <c r="AE14" s="475">
        <f t="shared" si="19"/>
        <v>0</v>
      </c>
      <c r="AF14" s="476">
        <f t="shared" si="20"/>
        <v>0</v>
      </c>
      <c r="AG14" s="475">
        <f t="shared" si="21"/>
        <v>0</v>
      </c>
      <c r="AH14" s="476">
        <f t="shared" si="22"/>
        <v>0</v>
      </c>
      <c r="AI14" s="475">
        <f t="shared" si="23"/>
        <v>0</v>
      </c>
      <c r="AJ14" s="477">
        <f>IF((D14&lt;&gt;""),VLOOKUP(D14,Données!$E$36:$H$59,4,FALSE),)</f>
        <v>0</v>
      </c>
      <c r="AK14" s="477">
        <f t="shared" si="24"/>
        <v>0</v>
      </c>
      <c r="AL14" s="478">
        <f t="shared" si="25"/>
        <v>0</v>
      </c>
      <c r="AM14" s="479">
        <f t="shared" si="26"/>
        <v>0</v>
      </c>
      <c r="AN14" s="480">
        <f t="shared" si="11"/>
        <v>0</v>
      </c>
      <c r="AO14" s="477">
        <f t="shared" si="12"/>
        <v>0</v>
      </c>
      <c r="AP14" s="481">
        <f t="shared" si="27"/>
        <v>0</v>
      </c>
      <c r="AQ14" s="481">
        <f t="shared" si="28"/>
        <v>0</v>
      </c>
      <c r="AR14" s="481">
        <f t="shared" si="29"/>
        <v>0</v>
      </c>
      <c r="AS14" s="481">
        <f t="shared" si="30"/>
        <v>0</v>
      </c>
      <c r="AT14" s="479">
        <f t="shared" si="13"/>
        <v>0</v>
      </c>
      <c r="AU14" s="479">
        <f t="shared" si="14"/>
        <v>0</v>
      </c>
      <c r="AV14" s="471">
        <f>IF(Données!$H$8="x",AW14,AX14)</f>
        <v>1.9</v>
      </c>
      <c r="AW14" s="471">
        <f t="shared" si="0"/>
        <v>0.95</v>
      </c>
      <c r="AX14" s="471">
        <f t="shared" si="31"/>
        <v>1.9</v>
      </c>
      <c r="AY14" s="467" t="str">
        <f t="shared" si="15"/>
        <v>Ma</v>
      </c>
      <c r="AZ14" s="478">
        <f>IF((S38="B5")*AND(S39&lt;&gt;""),VLOOKUP(S39,Échelle!$AL$5:$AM$34,2),)</f>
        <v>0</v>
      </c>
      <c r="BA14" s="479" t="s">
        <v>7</v>
      </c>
      <c r="BB14" s="148"/>
    </row>
    <row r="15" spans="2:54" x14ac:dyDescent="0.2">
      <c r="B15" s="467" t="s">
        <v>178</v>
      </c>
      <c r="C15" s="468" t="s">
        <v>284</v>
      </c>
      <c r="D15" s="469"/>
      <c r="E15" s="469"/>
      <c r="F15" s="470"/>
      <c r="G15" s="470"/>
      <c r="H15" s="470"/>
      <c r="I15" s="470"/>
      <c r="J15" s="470"/>
      <c r="K15" s="470"/>
      <c r="L15" s="471">
        <f>(G15-F15)+(I15-H15)+(K15-J15)+AJ15+AO15</f>
        <v>0</v>
      </c>
      <c r="M15" s="471">
        <f t="shared" si="1"/>
        <v>0</v>
      </c>
      <c r="N15" s="471">
        <f>IF(Jan!$H$48="x",AV15+Jan!$N$37,AV15)</f>
        <v>8.8666666666666636</v>
      </c>
      <c r="O15" s="483" t="str">
        <f t="shared" si="2"/>
        <v>-</v>
      </c>
      <c r="P15" s="473">
        <f t="shared" si="3"/>
        <v>8.8666666666666636</v>
      </c>
      <c r="Q15" s="474">
        <f t="shared" si="4"/>
        <v>0</v>
      </c>
      <c r="R15" s="474">
        <f t="shared" si="5"/>
        <v>0</v>
      </c>
      <c r="S15" s="474">
        <f t="shared" si="6"/>
        <v>0</v>
      </c>
      <c r="T15" s="474">
        <f t="shared" si="7"/>
        <v>0</v>
      </c>
      <c r="U15" s="471">
        <f t="shared" si="8"/>
        <v>0</v>
      </c>
      <c r="V15" s="471">
        <f>IF(D15="F",L15,0)</f>
        <v>0</v>
      </c>
      <c r="W15" s="471">
        <f t="shared" si="9"/>
        <v>0</v>
      </c>
      <c r="X15" s="471">
        <f t="shared" si="10"/>
        <v>0</v>
      </c>
      <c r="Y15" s="469"/>
      <c r="Z15" s="470"/>
      <c r="AA15" s="470"/>
      <c r="AB15" s="475">
        <f t="shared" si="16"/>
        <v>0</v>
      </c>
      <c r="AC15" s="475">
        <f t="shared" si="17"/>
        <v>0</v>
      </c>
      <c r="AD15" s="475">
        <f t="shared" si="18"/>
        <v>0</v>
      </c>
      <c r="AE15" s="475">
        <f t="shared" si="19"/>
        <v>0</v>
      </c>
      <c r="AF15" s="476">
        <f t="shared" si="20"/>
        <v>0</v>
      </c>
      <c r="AG15" s="475">
        <f t="shared" si="21"/>
        <v>0</v>
      </c>
      <c r="AH15" s="476">
        <f t="shared" si="22"/>
        <v>0</v>
      </c>
      <c r="AI15" s="475">
        <f t="shared" si="23"/>
        <v>0</v>
      </c>
      <c r="AJ15" s="477">
        <f>IF((D15&lt;&gt;""),VLOOKUP(D15,Données!$E$36:$H$59,4,FALSE),)</f>
        <v>0</v>
      </c>
      <c r="AK15" s="477">
        <f t="shared" si="24"/>
        <v>0</v>
      </c>
      <c r="AL15" s="478">
        <f t="shared" si="25"/>
        <v>0</v>
      </c>
      <c r="AM15" s="479">
        <f t="shared" si="26"/>
        <v>0</v>
      </c>
      <c r="AN15" s="480">
        <f t="shared" si="11"/>
        <v>0</v>
      </c>
      <c r="AO15" s="477">
        <f t="shared" si="12"/>
        <v>0</v>
      </c>
      <c r="AP15" s="481">
        <f t="shared" si="27"/>
        <v>0</v>
      </c>
      <c r="AQ15" s="481">
        <f t="shared" si="28"/>
        <v>0</v>
      </c>
      <c r="AR15" s="481">
        <f t="shared" si="29"/>
        <v>0</v>
      </c>
      <c r="AS15" s="481">
        <f t="shared" si="30"/>
        <v>0</v>
      </c>
      <c r="AT15" s="479">
        <f t="shared" si="13"/>
        <v>0</v>
      </c>
      <c r="AU15" s="479">
        <f t="shared" si="14"/>
        <v>0</v>
      </c>
      <c r="AV15" s="471">
        <f>IF(Données!$H$8="x",AW15,AX15)</f>
        <v>2.2166666666666668</v>
      </c>
      <c r="AW15" s="471">
        <f t="shared" si="0"/>
        <v>1.1083333333333334</v>
      </c>
      <c r="AX15" s="471">
        <f t="shared" si="31"/>
        <v>2.2166666666666668</v>
      </c>
      <c r="AY15" s="467" t="str">
        <f t="shared" si="15"/>
        <v>Me</v>
      </c>
      <c r="AZ15" s="478">
        <f>IF((S38="M1.1")*AND(S39&lt;&gt;""),VLOOKUP(S39,Échelle!$AO$5:$AP$31,2),)</f>
        <v>0</v>
      </c>
      <c r="BA15" s="479" t="s">
        <v>8</v>
      </c>
      <c r="BB15" s="148"/>
    </row>
    <row r="16" spans="2:54" x14ac:dyDescent="0.2">
      <c r="B16" s="467" t="s">
        <v>180</v>
      </c>
      <c r="C16" s="468" t="s">
        <v>285</v>
      </c>
      <c r="D16" s="469"/>
      <c r="E16" s="469"/>
      <c r="F16" s="470"/>
      <c r="G16" s="470"/>
      <c r="H16" s="470"/>
      <c r="I16" s="470"/>
      <c r="J16" s="470"/>
      <c r="K16" s="470"/>
      <c r="L16" s="471">
        <f>(G16-F16)+(I16-H16)+(K16-J16)+AJ16+AO16</f>
        <v>0</v>
      </c>
      <c r="M16" s="471">
        <f t="shared" si="1"/>
        <v>0</v>
      </c>
      <c r="N16" s="471">
        <f>IF(Jan!$H$48="x",AV16+Jan!$N$37,AV16)</f>
        <v>9.18333333333333</v>
      </c>
      <c r="O16" s="483" t="str">
        <f t="shared" si="2"/>
        <v>-</v>
      </c>
      <c r="P16" s="473">
        <f t="shared" si="3"/>
        <v>9.18333333333333</v>
      </c>
      <c r="Q16" s="474">
        <f t="shared" si="4"/>
        <v>0</v>
      </c>
      <c r="R16" s="474">
        <f t="shared" si="5"/>
        <v>0</v>
      </c>
      <c r="S16" s="474">
        <f t="shared" si="6"/>
        <v>0</v>
      </c>
      <c r="T16" s="474">
        <f t="shared" si="7"/>
        <v>0</v>
      </c>
      <c r="U16" s="471">
        <f t="shared" si="8"/>
        <v>0</v>
      </c>
      <c r="V16" s="471">
        <f>IF(D16="F",L16,0)</f>
        <v>0</v>
      </c>
      <c r="W16" s="471">
        <f t="shared" si="9"/>
        <v>0</v>
      </c>
      <c r="X16" s="471">
        <f t="shared" si="10"/>
        <v>0</v>
      </c>
      <c r="Y16" s="469"/>
      <c r="Z16" s="470"/>
      <c r="AA16" s="470"/>
      <c r="AB16" s="475">
        <f t="shared" si="16"/>
        <v>0</v>
      </c>
      <c r="AC16" s="475">
        <f t="shared" si="17"/>
        <v>0</v>
      </c>
      <c r="AD16" s="475">
        <f t="shared" si="18"/>
        <v>0</v>
      </c>
      <c r="AE16" s="475">
        <f t="shared" si="19"/>
        <v>0</v>
      </c>
      <c r="AF16" s="476">
        <f t="shared" si="20"/>
        <v>0</v>
      </c>
      <c r="AG16" s="475">
        <f t="shared" si="21"/>
        <v>0</v>
      </c>
      <c r="AH16" s="476">
        <f t="shared" si="22"/>
        <v>0</v>
      </c>
      <c r="AI16" s="475">
        <f t="shared" si="23"/>
        <v>0</v>
      </c>
      <c r="AJ16" s="477">
        <f>IF((D16&lt;&gt;""),VLOOKUP(D16,Données!$E$36:$H$59,4,FALSE),)</f>
        <v>0</v>
      </c>
      <c r="AK16" s="477">
        <f t="shared" si="24"/>
        <v>0</v>
      </c>
      <c r="AL16" s="478">
        <f t="shared" si="25"/>
        <v>0</v>
      </c>
      <c r="AM16" s="479">
        <f t="shared" si="26"/>
        <v>0</v>
      </c>
      <c r="AN16" s="480">
        <f t="shared" si="11"/>
        <v>0</v>
      </c>
      <c r="AO16" s="477">
        <f t="shared" si="12"/>
        <v>0</v>
      </c>
      <c r="AP16" s="481">
        <f t="shared" si="27"/>
        <v>0</v>
      </c>
      <c r="AQ16" s="481">
        <f t="shared" si="28"/>
        <v>0</v>
      </c>
      <c r="AR16" s="481">
        <f t="shared" si="29"/>
        <v>0</v>
      </c>
      <c r="AS16" s="481">
        <f t="shared" si="30"/>
        <v>0</v>
      </c>
      <c r="AT16" s="479">
        <f t="shared" si="13"/>
        <v>0</v>
      </c>
      <c r="AU16" s="479">
        <f t="shared" si="14"/>
        <v>0</v>
      </c>
      <c r="AV16" s="471">
        <f>IF(Données!$H$8="x",AW16,AX16)</f>
        <v>2.5333333333333332</v>
      </c>
      <c r="AW16" s="471">
        <f t="shared" si="0"/>
        <v>1.2666666666666666</v>
      </c>
      <c r="AX16" s="471">
        <f t="shared" si="31"/>
        <v>2.5333333333333332</v>
      </c>
      <c r="AY16" s="467" t="str">
        <f t="shared" si="15"/>
        <v>Je</v>
      </c>
      <c r="AZ16" s="478">
        <f>IF((S38="M1.2")*AND(S39&lt;&gt;""),VLOOKUP(S39,Échelle!$AR$5:$AS$31,2),)</f>
        <v>0</v>
      </c>
      <c r="BA16" s="479" t="s">
        <v>9</v>
      </c>
      <c r="BB16" s="148"/>
    </row>
    <row r="17" spans="2:54" x14ac:dyDescent="0.2">
      <c r="B17" s="467" t="s">
        <v>182</v>
      </c>
      <c r="C17" s="468" t="s">
        <v>286</v>
      </c>
      <c r="D17" s="469"/>
      <c r="E17" s="469"/>
      <c r="F17" s="470"/>
      <c r="G17" s="470"/>
      <c r="H17" s="470"/>
      <c r="I17" s="470"/>
      <c r="J17" s="470"/>
      <c r="K17" s="470"/>
      <c r="L17" s="471">
        <f>(G17-F17)+(I17-H17)+(K17-J17)+AJ17+AO17</f>
        <v>0</v>
      </c>
      <c r="M17" s="471">
        <f t="shared" si="1"/>
        <v>0</v>
      </c>
      <c r="N17" s="471">
        <f>IF(Jan!$H$48="x",AV17+Jan!$N$37,AV17)</f>
        <v>9.4999999999999964</v>
      </c>
      <c r="O17" s="483" t="str">
        <f t="shared" si="2"/>
        <v>-</v>
      </c>
      <c r="P17" s="473">
        <f t="shared" si="3"/>
        <v>9.4999999999999964</v>
      </c>
      <c r="Q17" s="474">
        <f t="shared" si="4"/>
        <v>0</v>
      </c>
      <c r="R17" s="474">
        <f t="shared" si="5"/>
        <v>0</v>
      </c>
      <c r="S17" s="474">
        <f t="shared" si="6"/>
        <v>0</v>
      </c>
      <c r="T17" s="474">
        <f t="shared" si="7"/>
        <v>0</v>
      </c>
      <c r="U17" s="471">
        <f t="shared" si="8"/>
        <v>0</v>
      </c>
      <c r="V17" s="471">
        <f>IF(D17="F",L17,0)</f>
        <v>0</v>
      </c>
      <c r="W17" s="471">
        <f t="shared" si="9"/>
        <v>0</v>
      </c>
      <c r="X17" s="471">
        <f t="shared" si="10"/>
        <v>0</v>
      </c>
      <c r="Y17" s="469"/>
      <c r="Z17" s="470"/>
      <c r="AA17" s="470"/>
      <c r="AB17" s="475">
        <f t="shared" si="16"/>
        <v>0</v>
      </c>
      <c r="AC17" s="475">
        <f t="shared" si="17"/>
        <v>0</v>
      </c>
      <c r="AD17" s="475">
        <f t="shared" si="18"/>
        <v>0</v>
      </c>
      <c r="AE17" s="475">
        <f t="shared" si="19"/>
        <v>0</v>
      </c>
      <c r="AF17" s="476">
        <f t="shared" si="20"/>
        <v>0</v>
      </c>
      <c r="AG17" s="475">
        <f t="shared" si="21"/>
        <v>0</v>
      </c>
      <c r="AH17" s="476">
        <f t="shared" si="22"/>
        <v>0</v>
      </c>
      <c r="AI17" s="475">
        <f t="shared" si="23"/>
        <v>0</v>
      </c>
      <c r="AJ17" s="477">
        <f>IF((D17&lt;&gt;""),VLOOKUP(D17,Données!$E$36:$H$59,4,FALSE),)</f>
        <v>0</v>
      </c>
      <c r="AK17" s="477">
        <f t="shared" si="24"/>
        <v>0</v>
      </c>
      <c r="AL17" s="478">
        <f t="shared" si="25"/>
        <v>0</v>
      </c>
      <c r="AM17" s="479">
        <f t="shared" si="26"/>
        <v>0</v>
      </c>
      <c r="AN17" s="480">
        <f t="shared" si="11"/>
        <v>0</v>
      </c>
      <c r="AO17" s="477">
        <f t="shared" si="12"/>
        <v>0</v>
      </c>
      <c r="AP17" s="481">
        <f t="shared" si="27"/>
        <v>0</v>
      </c>
      <c r="AQ17" s="481">
        <f t="shared" si="28"/>
        <v>0</v>
      </c>
      <c r="AR17" s="481">
        <f t="shared" si="29"/>
        <v>0</v>
      </c>
      <c r="AS17" s="481">
        <f t="shared" si="30"/>
        <v>0</v>
      </c>
      <c r="AT17" s="479">
        <f t="shared" si="13"/>
        <v>0</v>
      </c>
      <c r="AU17" s="479">
        <f t="shared" si="14"/>
        <v>0</v>
      </c>
      <c r="AV17" s="471">
        <f>IF(Données!$H$8="x",AW17,AX17)</f>
        <v>2.8499999999999996</v>
      </c>
      <c r="AW17" s="471">
        <f t="shared" si="0"/>
        <v>1.4249999999999998</v>
      </c>
      <c r="AX17" s="471">
        <f t="shared" si="31"/>
        <v>2.8499999999999996</v>
      </c>
      <c r="AY17" s="467" t="str">
        <f t="shared" si="15"/>
        <v>Ve</v>
      </c>
      <c r="AZ17" s="478">
        <f>IF((S38="M2.1")*AND(S39&lt;&gt;""),VLOOKUP(S39,Échelle!$AU$5:$AV$31,2),)</f>
        <v>0</v>
      </c>
      <c r="BA17" s="479" t="s">
        <v>10</v>
      </c>
      <c r="BB17" s="148"/>
    </row>
    <row r="18" spans="2:54" x14ac:dyDescent="0.2">
      <c r="B18" s="403" t="s">
        <v>184</v>
      </c>
      <c r="C18" s="412" t="s">
        <v>287</v>
      </c>
      <c r="D18" s="411"/>
      <c r="E18" s="411"/>
      <c r="F18" s="401"/>
      <c r="G18" s="401"/>
      <c r="H18" s="401"/>
      <c r="I18" s="401"/>
      <c r="J18" s="401"/>
      <c r="K18" s="401"/>
      <c r="L18" s="402">
        <f>(G18-F18)+(I18-H18)+(K18-J18)</f>
        <v>0</v>
      </c>
      <c r="M18" s="402">
        <f>M17+L18</f>
        <v>0</v>
      </c>
      <c r="N18" s="402">
        <f>IF(Jan!$H$48="x",AV18+Jan!$N$37,AV18)</f>
        <v>9.4999999999999964</v>
      </c>
      <c r="O18" s="408" t="str">
        <f t="shared" si="2"/>
        <v>-</v>
      </c>
      <c r="P18" s="413">
        <f t="shared" si="3"/>
        <v>9.4999999999999964</v>
      </c>
      <c r="Q18" s="410">
        <f t="shared" si="4"/>
        <v>0</v>
      </c>
      <c r="R18" s="410">
        <f t="shared" si="5"/>
        <v>0</v>
      </c>
      <c r="S18" s="410">
        <f t="shared" si="6"/>
        <v>0</v>
      </c>
      <c r="T18" s="410">
        <f t="shared" si="7"/>
        <v>0</v>
      </c>
      <c r="U18" s="402">
        <f t="shared" si="8"/>
        <v>0</v>
      </c>
      <c r="V18" s="402">
        <f>L18</f>
        <v>0</v>
      </c>
      <c r="W18" s="402">
        <f t="shared" si="9"/>
        <v>0</v>
      </c>
      <c r="X18" s="402">
        <f t="shared" si="10"/>
        <v>0</v>
      </c>
      <c r="Y18" s="411"/>
      <c r="Z18" s="401"/>
      <c r="AA18" s="401"/>
      <c r="AB18" s="420">
        <f t="shared" si="16"/>
        <v>0</v>
      </c>
      <c r="AC18" s="420">
        <f t="shared" si="17"/>
        <v>0</v>
      </c>
      <c r="AD18" s="420">
        <f t="shared" si="18"/>
        <v>0</v>
      </c>
      <c r="AE18" s="420">
        <f t="shared" si="19"/>
        <v>0</v>
      </c>
      <c r="AF18" s="421">
        <f t="shared" si="20"/>
        <v>0</v>
      </c>
      <c r="AG18" s="420">
        <f t="shared" si="21"/>
        <v>0</v>
      </c>
      <c r="AH18" s="421">
        <f t="shared" si="22"/>
        <v>0</v>
      </c>
      <c r="AI18" s="420">
        <f t="shared" si="23"/>
        <v>0</v>
      </c>
      <c r="AJ18" s="422">
        <f>IF((D18&lt;&gt;""),VLOOKUP(D18,Données!$E$36:$H$59,4,FALSE),)</f>
        <v>0</v>
      </c>
      <c r="AK18" s="422">
        <f t="shared" si="24"/>
        <v>0</v>
      </c>
      <c r="AL18" s="423">
        <f t="shared" si="25"/>
        <v>0</v>
      </c>
      <c r="AM18" s="424">
        <f t="shared" si="26"/>
        <v>0</v>
      </c>
      <c r="AN18" s="425">
        <f t="shared" si="11"/>
        <v>0</v>
      </c>
      <c r="AO18" s="422">
        <f t="shared" si="12"/>
        <v>0</v>
      </c>
      <c r="AP18" s="426">
        <f t="shared" si="27"/>
        <v>0</v>
      </c>
      <c r="AQ18" s="426">
        <f t="shared" si="28"/>
        <v>0</v>
      </c>
      <c r="AR18" s="426">
        <f t="shared" si="29"/>
        <v>0</v>
      </c>
      <c r="AS18" s="426">
        <f t="shared" si="30"/>
        <v>0</v>
      </c>
      <c r="AT18" s="424">
        <f t="shared" si="13"/>
        <v>0</v>
      </c>
      <c r="AU18" s="424">
        <f t="shared" si="14"/>
        <v>0</v>
      </c>
      <c r="AV18" s="402">
        <f>IF(Données!$H$8="x",AW18,AX18)</f>
        <v>2.8499999999999996</v>
      </c>
      <c r="AW18" s="402">
        <f t="shared" si="0"/>
        <v>1.4249999999999998</v>
      </c>
      <c r="AX18" s="402">
        <f>AX17</f>
        <v>2.8499999999999996</v>
      </c>
      <c r="AY18" s="403" t="str">
        <f t="shared" si="15"/>
        <v>Sa</v>
      </c>
      <c r="AZ18" s="423">
        <f>IF((S38="M2.2")*AND(S39&lt;&gt;""),VLOOKUP(S39,Échelle!$AX$5:$AY$31,2),)</f>
        <v>0</v>
      </c>
      <c r="BA18" s="424" t="s">
        <v>11</v>
      </c>
      <c r="BB18" s="148"/>
    </row>
    <row r="19" spans="2:54" x14ac:dyDescent="0.2">
      <c r="B19" s="403" t="s">
        <v>186</v>
      </c>
      <c r="C19" s="412" t="s">
        <v>288</v>
      </c>
      <c r="D19" s="411"/>
      <c r="E19" s="411"/>
      <c r="F19" s="401"/>
      <c r="G19" s="401"/>
      <c r="H19" s="401"/>
      <c r="I19" s="401"/>
      <c r="J19" s="401"/>
      <c r="K19" s="401"/>
      <c r="L19" s="402">
        <f>(G19-F19)+(I19-H19)+(K19-J19)</f>
        <v>0</v>
      </c>
      <c r="M19" s="402">
        <f t="shared" si="1"/>
        <v>0</v>
      </c>
      <c r="N19" s="402">
        <f>IF(Jan!$H$48="x",AV19+Jan!$N$37,AV19)</f>
        <v>9.4999999999999964</v>
      </c>
      <c r="O19" s="408" t="str">
        <f t="shared" si="2"/>
        <v>-</v>
      </c>
      <c r="P19" s="413">
        <f t="shared" si="3"/>
        <v>9.4999999999999964</v>
      </c>
      <c r="Q19" s="410">
        <f t="shared" si="4"/>
        <v>0</v>
      </c>
      <c r="R19" s="410">
        <f t="shared" si="5"/>
        <v>0</v>
      </c>
      <c r="S19" s="410">
        <f t="shared" si="6"/>
        <v>0</v>
      </c>
      <c r="T19" s="410">
        <f t="shared" si="7"/>
        <v>0</v>
      </c>
      <c r="U19" s="402">
        <f t="shared" si="8"/>
        <v>0</v>
      </c>
      <c r="V19" s="402">
        <f>L19</f>
        <v>0</v>
      </c>
      <c r="W19" s="402">
        <f t="shared" si="9"/>
        <v>0</v>
      </c>
      <c r="X19" s="402">
        <f t="shared" si="10"/>
        <v>0</v>
      </c>
      <c r="Y19" s="411"/>
      <c r="Z19" s="401"/>
      <c r="AA19" s="401"/>
      <c r="AB19" s="420">
        <f t="shared" si="16"/>
        <v>0</v>
      </c>
      <c r="AC19" s="420">
        <f t="shared" si="17"/>
        <v>0</v>
      </c>
      <c r="AD19" s="420">
        <f t="shared" si="18"/>
        <v>0</v>
      </c>
      <c r="AE19" s="420">
        <f t="shared" si="19"/>
        <v>0</v>
      </c>
      <c r="AF19" s="421">
        <f t="shared" si="20"/>
        <v>0</v>
      </c>
      <c r="AG19" s="420">
        <f t="shared" si="21"/>
        <v>0</v>
      </c>
      <c r="AH19" s="421">
        <f t="shared" si="22"/>
        <v>0</v>
      </c>
      <c r="AI19" s="420">
        <f t="shared" si="23"/>
        <v>0</v>
      </c>
      <c r="AJ19" s="422">
        <f>IF((D19&lt;&gt;""),VLOOKUP(D19,Données!$E$36:$H$59,4,FALSE),)</f>
        <v>0</v>
      </c>
      <c r="AK19" s="422">
        <f t="shared" si="24"/>
        <v>0</v>
      </c>
      <c r="AL19" s="423">
        <f t="shared" si="25"/>
        <v>0</v>
      </c>
      <c r="AM19" s="424">
        <f t="shared" si="26"/>
        <v>0</v>
      </c>
      <c r="AN19" s="425">
        <f t="shared" si="11"/>
        <v>0</v>
      </c>
      <c r="AO19" s="422">
        <f t="shared" si="12"/>
        <v>0</v>
      </c>
      <c r="AP19" s="426">
        <f t="shared" si="27"/>
        <v>0</v>
      </c>
      <c r="AQ19" s="426">
        <f t="shared" si="28"/>
        <v>0</v>
      </c>
      <c r="AR19" s="426">
        <f t="shared" si="29"/>
        <v>0</v>
      </c>
      <c r="AS19" s="426">
        <f t="shared" si="30"/>
        <v>0</v>
      </c>
      <c r="AT19" s="424">
        <f t="shared" si="13"/>
        <v>0</v>
      </c>
      <c r="AU19" s="424">
        <f t="shared" si="14"/>
        <v>0</v>
      </c>
      <c r="AV19" s="402">
        <f>IF(Données!$H$8="x",AW19,AX19)</f>
        <v>2.8499999999999996</v>
      </c>
      <c r="AW19" s="402">
        <f t="shared" si="0"/>
        <v>1.4249999999999998</v>
      </c>
      <c r="AX19" s="402">
        <f>AX18</f>
        <v>2.8499999999999996</v>
      </c>
      <c r="AY19" s="403" t="str">
        <f t="shared" si="15"/>
        <v>Di</v>
      </c>
      <c r="AZ19" s="423">
        <f>IF((S38="M3.1")*AND(S39&lt;&gt;""),VLOOKUP(S39,Échelle!$BA$5:$BB$31,2),)</f>
        <v>0</v>
      </c>
      <c r="BA19" s="424" t="s">
        <v>12</v>
      </c>
      <c r="BB19" s="148"/>
    </row>
    <row r="20" spans="2:54" x14ac:dyDescent="0.2">
      <c r="B20" s="467" t="s">
        <v>188</v>
      </c>
      <c r="C20" s="468" t="s">
        <v>289</v>
      </c>
      <c r="D20" s="469"/>
      <c r="E20" s="469"/>
      <c r="F20" s="470"/>
      <c r="G20" s="470"/>
      <c r="H20" s="470"/>
      <c r="I20" s="470"/>
      <c r="J20" s="470"/>
      <c r="K20" s="470"/>
      <c r="L20" s="471">
        <f>(G20-F20)+(I20-H20)+(K20-J20)+AJ20+AO20</f>
        <v>0</v>
      </c>
      <c r="M20" s="471">
        <f t="shared" si="1"/>
        <v>0</v>
      </c>
      <c r="N20" s="471">
        <f>IF(Jan!$H$48="x",AV20+Jan!$N$37,AV20)</f>
        <v>9.8166666666666629</v>
      </c>
      <c r="O20" s="483" t="str">
        <f t="shared" si="2"/>
        <v>-</v>
      </c>
      <c r="P20" s="473">
        <f t="shared" si="3"/>
        <v>9.8166666666666629</v>
      </c>
      <c r="Q20" s="474">
        <f t="shared" si="4"/>
        <v>0</v>
      </c>
      <c r="R20" s="474">
        <f t="shared" si="5"/>
        <v>0</v>
      </c>
      <c r="S20" s="474">
        <f t="shared" si="6"/>
        <v>0</v>
      </c>
      <c r="T20" s="474">
        <f t="shared" si="7"/>
        <v>0</v>
      </c>
      <c r="U20" s="471">
        <f t="shared" si="8"/>
        <v>0</v>
      </c>
      <c r="V20" s="471">
        <f>IF(D20="F",L20,0)</f>
        <v>0</v>
      </c>
      <c r="W20" s="471">
        <f t="shared" si="9"/>
        <v>0</v>
      </c>
      <c r="X20" s="471">
        <f t="shared" si="10"/>
        <v>0</v>
      </c>
      <c r="Y20" s="469"/>
      <c r="Z20" s="470"/>
      <c r="AA20" s="470"/>
      <c r="AB20" s="475">
        <f t="shared" si="16"/>
        <v>0</v>
      </c>
      <c r="AC20" s="475">
        <f t="shared" si="17"/>
        <v>0</v>
      </c>
      <c r="AD20" s="475">
        <f t="shared" si="18"/>
        <v>0</v>
      </c>
      <c r="AE20" s="475">
        <f t="shared" si="19"/>
        <v>0</v>
      </c>
      <c r="AF20" s="476">
        <f t="shared" si="20"/>
        <v>0</v>
      </c>
      <c r="AG20" s="475">
        <f t="shared" si="21"/>
        <v>0</v>
      </c>
      <c r="AH20" s="476">
        <f t="shared" si="22"/>
        <v>0</v>
      </c>
      <c r="AI20" s="475">
        <f t="shared" si="23"/>
        <v>0</v>
      </c>
      <c r="AJ20" s="477">
        <f>IF((D20&lt;&gt;""),VLOOKUP(D20,Données!$E$36:$H$59,4,FALSE),)</f>
        <v>0</v>
      </c>
      <c r="AK20" s="477">
        <f t="shared" si="24"/>
        <v>0</v>
      </c>
      <c r="AL20" s="478">
        <f t="shared" si="25"/>
        <v>0</v>
      </c>
      <c r="AM20" s="479">
        <f t="shared" si="26"/>
        <v>0</v>
      </c>
      <c r="AN20" s="480">
        <f t="shared" si="11"/>
        <v>0</v>
      </c>
      <c r="AO20" s="477">
        <f t="shared" si="12"/>
        <v>0</v>
      </c>
      <c r="AP20" s="481">
        <f t="shared" si="27"/>
        <v>0</v>
      </c>
      <c r="AQ20" s="481">
        <f t="shared" si="28"/>
        <v>0</v>
      </c>
      <c r="AR20" s="481">
        <f t="shared" si="29"/>
        <v>0</v>
      </c>
      <c r="AS20" s="481">
        <f t="shared" si="30"/>
        <v>0</v>
      </c>
      <c r="AT20" s="479">
        <f t="shared" si="13"/>
        <v>0</v>
      </c>
      <c r="AU20" s="479">
        <f t="shared" si="14"/>
        <v>0</v>
      </c>
      <c r="AV20" s="471">
        <f>IF(Données!$H$8="x",AW20,AX20)</f>
        <v>3.1666666666666661</v>
      </c>
      <c r="AW20" s="471">
        <f t="shared" si="0"/>
        <v>1.583333333333333</v>
      </c>
      <c r="AX20" s="471">
        <f t="shared" ref="AX20:AX24" si="32">IF(D20="L",AX19,(AX19+"07:36"))</f>
        <v>3.1666666666666661</v>
      </c>
      <c r="AY20" s="467" t="str">
        <f t="shared" si="15"/>
        <v>Lu</v>
      </c>
      <c r="AZ20" s="478">
        <f>IF((S38="M3.2")*AND(S39&lt;&gt;""),VLOOKUP(S39,Échelle!$BD$5:$BE$31,2),)</f>
        <v>0</v>
      </c>
      <c r="BA20" s="479" t="s">
        <v>13</v>
      </c>
      <c r="BB20" s="148"/>
    </row>
    <row r="21" spans="2:54" x14ac:dyDescent="0.2">
      <c r="B21" s="467" t="s">
        <v>176</v>
      </c>
      <c r="C21" s="468" t="s">
        <v>290</v>
      </c>
      <c r="D21" s="469"/>
      <c r="E21" s="469"/>
      <c r="F21" s="470"/>
      <c r="G21" s="470"/>
      <c r="H21" s="470"/>
      <c r="I21" s="470"/>
      <c r="J21" s="470"/>
      <c r="K21" s="470"/>
      <c r="L21" s="471">
        <f>(G21-F21)+(I21-H21)+(K21-J21)+AJ21+AO21</f>
        <v>0</v>
      </c>
      <c r="M21" s="471">
        <f t="shared" si="1"/>
        <v>0</v>
      </c>
      <c r="N21" s="471">
        <f>IF(Jan!$H$48="x",AV21+Jan!$N$37,AV21)</f>
        <v>10.133333333333329</v>
      </c>
      <c r="O21" s="483" t="str">
        <f t="shared" si="2"/>
        <v>-</v>
      </c>
      <c r="P21" s="473">
        <f t="shared" si="3"/>
        <v>10.133333333333329</v>
      </c>
      <c r="Q21" s="474">
        <f t="shared" si="4"/>
        <v>0</v>
      </c>
      <c r="R21" s="474">
        <f t="shared" si="5"/>
        <v>0</v>
      </c>
      <c r="S21" s="474">
        <f t="shared" si="6"/>
        <v>0</v>
      </c>
      <c r="T21" s="474">
        <f t="shared" si="7"/>
        <v>0</v>
      </c>
      <c r="U21" s="471">
        <f t="shared" si="8"/>
        <v>0</v>
      </c>
      <c r="V21" s="471">
        <f>IF(D21="F",L21,0)</f>
        <v>0</v>
      </c>
      <c r="W21" s="471">
        <f t="shared" si="9"/>
        <v>0</v>
      </c>
      <c r="X21" s="471">
        <f t="shared" si="10"/>
        <v>0</v>
      </c>
      <c r="Y21" s="469"/>
      <c r="Z21" s="470"/>
      <c r="AA21" s="470"/>
      <c r="AB21" s="475">
        <f t="shared" si="16"/>
        <v>0</v>
      </c>
      <c r="AC21" s="475">
        <f t="shared" si="17"/>
        <v>0</v>
      </c>
      <c r="AD21" s="475">
        <f t="shared" si="18"/>
        <v>0</v>
      </c>
      <c r="AE21" s="475">
        <f t="shared" si="19"/>
        <v>0</v>
      </c>
      <c r="AF21" s="476">
        <f t="shared" si="20"/>
        <v>0</v>
      </c>
      <c r="AG21" s="475">
        <f t="shared" si="21"/>
        <v>0</v>
      </c>
      <c r="AH21" s="476">
        <f t="shared" si="22"/>
        <v>0</v>
      </c>
      <c r="AI21" s="475">
        <f t="shared" si="23"/>
        <v>0</v>
      </c>
      <c r="AJ21" s="477">
        <f>IF((D21&lt;&gt;""),VLOOKUP(D21,Données!$E$36:$H$59,4,FALSE),)</f>
        <v>0</v>
      </c>
      <c r="AK21" s="477">
        <f t="shared" si="24"/>
        <v>0</v>
      </c>
      <c r="AL21" s="478">
        <f t="shared" si="25"/>
        <v>0</v>
      </c>
      <c r="AM21" s="479">
        <f t="shared" si="26"/>
        <v>0</v>
      </c>
      <c r="AN21" s="480">
        <f t="shared" si="11"/>
        <v>0</v>
      </c>
      <c r="AO21" s="477">
        <f t="shared" si="12"/>
        <v>0</v>
      </c>
      <c r="AP21" s="481">
        <f t="shared" si="27"/>
        <v>0</v>
      </c>
      <c r="AQ21" s="481">
        <f t="shared" si="28"/>
        <v>0</v>
      </c>
      <c r="AR21" s="481">
        <f t="shared" si="29"/>
        <v>0</v>
      </c>
      <c r="AS21" s="481">
        <f t="shared" si="30"/>
        <v>0</v>
      </c>
      <c r="AT21" s="479">
        <f t="shared" si="13"/>
        <v>0</v>
      </c>
      <c r="AU21" s="479">
        <f t="shared" si="14"/>
        <v>0</v>
      </c>
      <c r="AV21" s="471">
        <f>IF(Données!$H$8="x",AW21,AX21)</f>
        <v>3.4833333333333325</v>
      </c>
      <c r="AW21" s="471">
        <f t="shared" si="0"/>
        <v>1.7416666666666663</v>
      </c>
      <c r="AX21" s="471">
        <f t="shared" si="32"/>
        <v>3.4833333333333325</v>
      </c>
      <c r="AY21" s="467" t="str">
        <f t="shared" si="15"/>
        <v>Ma</v>
      </c>
      <c r="AZ21" s="478">
        <f>IF((S38="M4.1")*AND(S39&lt;&gt;""),VLOOKUP(S39,Échelle!$BJ$39:$BK$68,2),)</f>
        <v>0</v>
      </c>
      <c r="BA21" s="479" t="s">
        <v>14</v>
      </c>
      <c r="BB21" s="148"/>
    </row>
    <row r="22" spans="2:54" x14ac:dyDescent="0.2">
      <c r="B22" s="467" t="s">
        <v>178</v>
      </c>
      <c r="C22" s="468" t="s">
        <v>291</v>
      </c>
      <c r="D22" s="469"/>
      <c r="E22" s="469"/>
      <c r="F22" s="470"/>
      <c r="G22" s="470"/>
      <c r="H22" s="470"/>
      <c r="I22" s="470"/>
      <c r="J22" s="470"/>
      <c r="K22" s="470"/>
      <c r="L22" s="471">
        <f>(G22-F22)+(I22-H22)+(K22-J22)+AJ22+AO22</f>
        <v>0</v>
      </c>
      <c r="M22" s="471">
        <f t="shared" si="1"/>
        <v>0</v>
      </c>
      <c r="N22" s="471">
        <f>IF(Jan!$H$48="x",AV22+Jan!$N$37,AV22)</f>
        <v>10.449999999999996</v>
      </c>
      <c r="O22" s="483" t="str">
        <f t="shared" si="2"/>
        <v>-</v>
      </c>
      <c r="P22" s="473">
        <f t="shared" si="3"/>
        <v>10.449999999999996</v>
      </c>
      <c r="Q22" s="474">
        <f t="shared" si="4"/>
        <v>0</v>
      </c>
      <c r="R22" s="474">
        <f t="shared" si="5"/>
        <v>0</v>
      </c>
      <c r="S22" s="474">
        <f t="shared" si="6"/>
        <v>0</v>
      </c>
      <c r="T22" s="474">
        <f t="shared" si="7"/>
        <v>0</v>
      </c>
      <c r="U22" s="471">
        <f t="shared" si="8"/>
        <v>0</v>
      </c>
      <c r="V22" s="471">
        <f>IF(D22="F",L22,0)</f>
        <v>0</v>
      </c>
      <c r="W22" s="471">
        <f t="shared" si="9"/>
        <v>0</v>
      </c>
      <c r="X22" s="471">
        <f t="shared" si="10"/>
        <v>0</v>
      </c>
      <c r="Y22" s="469"/>
      <c r="Z22" s="470"/>
      <c r="AA22" s="470"/>
      <c r="AB22" s="475">
        <f t="shared" si="16"/>
        <v>0</v>
      </c>
      <c r="AC22" s="475">
        <f t="shared" si="17"/>
        <v>0</v>
      </c>
      <c r="AD22" s="475">
        <f t="shared" si="18"/>
        <v>0</v>
      </c>
      <c r="AE22" s="475">
        <f t="shared" si="19"/>
        <v>0</v>
      </c>
      <c r="AF22" s="476">
        <f t="shared" si="20"/>
        <v>0</v>
      </c>
      <c r="AG22" s="475">
        <f t="shared" si="21"/>
        <v>0</v>
      </c>
      <c r="AH22" s="476">
        <f t="shared" si="22"/>
        <v>0</v>
      </c>
      <c r="AI22" s="475">
        <f t="shared" si="23"/>
        <v>0</v>
      </c>
      <c r="AJ22" s="477">
        <f>IF((D22&lt;&gt;""),VLOOKUP(D22,Données!$E$36:$H$59,4,FALSE),)</f>
        <v>0</v>
      </c>
      <c r="AK22" s="477">
        <f t="shared" si="24"/>
        <v>0</v>
      </c>
      <c r="AL22" s="478">
        <f t="shared" si="25"/>
        <v>0</v>
      </c>
      <c r="AM22" s="479">
        <f t="shared" si="26"/>
        <v>0</v>
      </c>
      <c r="AN22" s="480">
        <f t="shared" si="11"/>
        <v>0</v>
      </c>
      <c r="AO22" s="477">
        <f t="shared" si="12"/>
        <v>0</v>
      </c>
      <c r="AP22" s="481">
        <f t="shared" si="27"/>
        <v>0</v>
      </c>
      <c r="AQ22" s="481">
        <f t="shared" si="28"/>
        <v>0</v>
      </c>
      <c r="AR22" s="481">
        <f t="shared" si="29"/>
        <v>0</v>
      </c>
      <c r="AS22" s="481">
        <f t="shared" si="30"/>
        <v>0</v>
      </c>
      <c r="AT22" s="479">
        <f t="shared" si="13"/>
        <v>0</v>
      </c>
      <c r="AU22" s="479">
        <f t="shared" si="14"/>
        <v>0</v>
      </c>
      <c r="AV22" s="471">
        <f>IF(Données!$H$8="x",AW22,AX22)</f>
        <v>3.7999999999999989</v>
      </c>
      <c r="AW22" s="471">
        <f t="shared" si="0"/>
        <v>1.8999999999999995</v>
      </c>
      <c r="AX22" s="471">
        <f t="shared" si="32"/>
        <v>3.7999999999999989</v>
      </c>
      <c r="AY22" s="467" t="str">
        <f t="shared" si="15"/>
        <v>Me</v>
      </c>
      <c r="AZ22" s="478">
        <f>IF((S38="M4.2")*AND(S39&lt;&gt;""),VLOOKUP(S39,Échelle!$BJ$5:$BK$31,2),)</f>
        <v>0</v>
      </c>
      <c r="BA22" s="479" t="s">
        <v>15</v>
      </c>
      <c r="BB22" s="148"/>
    </row>
    <row r="23" spans="2:54" x14ac:dyDescent="0.2">
      <c r="B23" s="467" t="s">
        <v>180</v>
      </c>
      <c r="C23" s="468" t="s">
        <v>292</v>
      </c>
      <c r="D23" s="469"/>
      <c r="E23" s="469"/>
      <c r="F23" s="470"/>
      <c r="G23" s="470"/>
      <c r="H23" s="470"/>
      <c r="I23" s="470"/>
      <c r="J23" s="470"/>
      <c r="K23" s="470"/>
      <c r="L23" s="471">
        <f>(G23-F23)+(I23-H23)+(K23-J23)+AJ23+AO23</f>
        <v>0</v>
      </c>
      <c r="M23" s="471">
        <f t="shared" si="1"/>
        <v>0</v>
      </c>
      <c r="N23" s="471">
        <f>IF(Jan!$H$48="x",AV23+Jan!$N$37,AV23)</f>
        <v>10.766666666666662</v>
      </c>
      <c r="O23" s="483" t="str">
        <f t="shared" si="2"/>
        <v>-</v>
      </c>
      <c r="P23" s="473">
        <f t="shared" si="3"/>
        <v>10.766666666666662</v>
      </c>
      <c r="Q23" s="474">
        <f t="shared" si="4"/>
        <v>0</v>
      </c>
      <c r="R23" s="474">
        <f t="shared" si="5"/>
        <v>0</v>
      </c>
      <c r="S23" s="474">
        <f t="shared" si="6"/>
        <v>0</v>
      </c>
      <c r="T23" s="474">
        <f t="shared" si="7"/>
        <v>0</v>
      </c>
      <c r="U23" s="471">
        <f t="shared" si="8"/>
        <v>0</v>
      </c>
      <c r="V23" s="471">
        <f>IF(D23="F",L23,0)</f>
        <v>0</v>
      </c>
      <c r="W23" s="471">
        <f t="shared" si="9"/>
        <v>0</v>
      </c>
      <c r="X23" s="471">
        <f t="shared" si="10"/>
        <v>0</v>
      </c>
      <c r="Y23" s="469"/>
      <c r="Z23" s="470"/>
      <c r="AA23" s="470"/>
      <c r="AB23" s="475">
        <f t="shared" si="16"/>
        <v>0</v>
      </c>
      <c r="AC23" s="475">
        <f t="shared" si="17"/>
        <v>0</v>
      </c>
      <c r="AD23" s="475">
        <f t="shared" si="18"/>
        <v>0</v>
      </c>
      <c r="AE23" s="475">
        <f t="shared" si="19"/>
        <v>0</v>
      </c>
      <c r="AF23" s="476">
        <f t="shared" si="20"/>
        <v>0</v>
      </c>
      <c r="AG23" s="475">
        <f t="shared" si="21"/>
        <v>0</v>
      </c>
      <c r="AH23" s="476">
        <f t="shared" si="22"/>
        <v>0</v>
      </c>
      <c r="AI23" s="475">
        <f t="shared" si="23"/>
        <v>0</v>
      </c>
      <c r="AJ23" s="477">
        <f>IF((D23&lt;&gt;""),VLOOKUP(D23,Données!$E$36:$H$59,4,FALSE),)</f>
        <v>0</v>
      </c>
      <c r="AK23" s="477">
        <f t="shared" si="24"/>
        <v>0</v>
      </c>
      <c r="AL23" s="478">
        <f t="shared" si="25"/>
        <v>0</v>
      </c>
      <c r="AM23" s="479">
        <f t="shared" si="26"/>
        <v>0</v>
      </c>
      <c r="AN23" s="480">
        <f t="shared" si="11"/>
        <v>0</v>
      </c>
      <c r="AO23" s="477">
        <f t="shared" si="12"/>
        <v>0</v>
      </c>
      <c r="AP23" s="481">
        <f t="shared" si="27"/>
        <v>0</v>
      </c>
      <c r="AQ23" s="481">
        <f t="shared" si="28"/>
        <v>0</v>
      </c>
      <c r="AR23" s="481">
        <f t="shared" si="29"/>
        <v>0</v>
      </c>
      <c r="AS23" s="481">
        <f t="shared" si="30"/>
        <v>0</v>
      </c>
      <c r="AT23" s="479">
        <f t="shared" si="13"/>
        <v>0</v>
      </c>
      <c r="AU23" s="479">
        <f t="shared" si="14"/>
        <v>0</v>
      </c>
      <c r="AV23" s="471">
        <f>IF(Données!$H$8="x",AW23,AX23)</f>
        <v>4.1166666666666654</v>
      </c>
      <c r="AW23" s="471">
        <f t="shared" si="0"/>
        <v>2.0583333333333327</v>
      </c>
      <c r="AX23" s="471">
        <f t="shared" si="32"/>
        <v>4.1166666666666654</v>
      </c>
      <c r="AY23" s="467" t="str">
        <f t="shared" si="15"/>
        <v>Je</v>
      </c>
      <c r="AZ23" s="478">
        <f>IF((S38="M5.1")*AND(S39&lt;&gt;""),VLOOKUP(S39,Échelle!$BM$5:$BN$31,2),)</f>
        <v>0</v>
      </c>
      <c r="BA23" s="479" t="s">
        <v>16</v>
      </c>
      <c r="BB23" s="148"/>
    </row>
    <row r="24" spans="2:54" x14ac:dyDescent="0.2">
      <c r="B24" s="467" t="s">
        <v>182</v>
      </c>
      <c r="C24" s="468" t="s">
        <v>293</v>
      </c>
      <c r="D24" s="469"/>
      <c r="E24" s="469"/>
      <c r="F24" s="470"/>
      <c r="G24" s="470"/>
      <c r="H24" s="470"/>
      <c r="I24" s="470"/>
      <c r="J24" s="470"/>
      <c r="K24" s="470"/>
      <c r="L24" s="471">
        <f>(G24-F24)+(I24-H24)+(K24-J24)+AJ24+AO24</f>
        <v>0</v>
      </c>
      <c r="M24" s="471">
        <f t="shared" si="1"/>
        <v>0</v>
      </c>
      <c r="N24" s="471">
        <f>IF(Jan!$H$48="x",AV24+Jan!$N$37,AV24)</f>
        <v>11.083333333333329</v>
      </c>
      <c r="O24" s="483" t="str">
        <f t="shared" si="2"/>
        <v>-</v>
      </c>
      <c r="P24" s="473">
        <f t="shared" si="3"/>
        <v>11.083333333333329</v>
      </c>
      <c r="Q24" s="474">
        <f t="shared" si="4"/>
        <v>0</v>
      </c>
      <c r="R24" s="474">
        <f t="shared" si="5"/>
        <v>0</v>
      </c>
      <c r="S24" s="474">
        <f t="shared" si="6"/>
        <v>0</v>
      </c>
      <c r="T24" s="474">
        <f t="shared" si="7"/>
        <v>0</v>
      </c>
      <c r="U24" s="471">
        <f t="shared" si="8"/>
        <v>0</v>
      </c>
      <c r="V24" s="471">
        <f>IF(D24="F",L24,0)</f>
        <v>0</v>
      </c>
      <c r="W24" s="471">
        <f t="shared" si="9"/>
        <v>0</v>
      </c>
      <c r="X24" s="471">
        <f t="shared" si="10"/>
        <v>0</v>
      </c>
      <c r="Y24" s="469"/>
      <c r="Z24" s="470"/>
      <c r="AA24" s="470"/>
      <c r="AB24" s="475">
        <f t="shared" si="16"/>
        <v>0</v>
      </c>
      <c r="AC24" s="475">
        <f t="shared" si="17"/>
        <v>0</v>
      </c>
      <c r="AD24" s="475">
        <f t="shared" si="18"/>
        <v>0</v>
      </c>
      <c r="AE24" s="475">
        <f t="shared" si="19"/>
        <v>0</v>
      </c>
      <c r="AF24" s="476">
        <f t="shared" si="20"/>
        <v>0</v>
      </c>
      <c r="AG24" s="475">
        <f t="shared" si="21"/>
        <v>0</v>
      </c>
      <c r="AH24" s="476">
        <f t="shared" si="22"/>
        <v>0</v>
      </c>
      <c r="AI24" s="475">
        <f t="shared" si="23"/>
        <v>0</v>
      </c>
      <c r="AJ24" s="477">
        <f>IF((D24&lt;&gt;""),VLOOKUP(D24,Données!$E$36:$H$59,4,FALSE),)</f>
        <v>0</v>
      </c>
      <c r="AK24" s="477">
        <f t="shared" si="24"/>
        <v>0</v>
      </c>
      <c r="AL24" s="478">
        <f t="shared" si="25"/>
        <v>0</v>
      </c>
      <c r="AM24" s="479">
        <f t="shared" si="26"/>
        <v>0</v>
      </c>
      <c r="AN24" s="480">
        <f t="shared" si="11"/>
        <v>0</v>
      </c>
      <c r="AO24" s="477">
        <f t="shared" si="12"/>
        <v>0</v>
      </c>
      <c r="AP24" s="481">
        <f t="shared" si="27"/>
        <v>0</v>
      </c>
      <c r="AQ24" s="481">
        <f t="shared" si="28"/>
        <v>0</v>
      </c>
      <c r="AR24" s="481">
        <f t="shared" si="29"/>
        <v>0</v>
      </c>
      <c r="AS24" s="481">
        <f t="shared" si="30"/>
        <v>0</v>
      </c>
      <c r="AT24" s="479">
        <f t="shared" si="13"/>
        <v>0</v>
      </c>
      <c r="AU24" s="479">
        <f t="shared" si="14"/>
        <v>0</v>
      </c>
      <c r="AV24" s="471">
        <f>IF(Données!$H$8="x",AW24,AX24)</f>
        <v>4.4333333333333318</v>
      </c>
      <c r="AW24" s="471">
        <f t="shared" si="0"/>
        <v>2.2166666666666659</v>
      </c>
      <c r="AX24" s="471">
        <f t="shared" si="32"/>
        <v>4.4333333333333318</v>
      </c>
      <c r="AY24" s="467" t="str">
        <f t="shared" si="15"/>
        <v>Ve</v>
      </c>
      <c r="AZ24" s="478">
        <f>IF((S38="M5.2")*AND(S39&lt;&gt;""),VLOOKUP(S39,Échelle!$BP$5:$BQ$31,2),)</f>
        <v>0</v>
      </c>
      <c r="BA24" s="479" t="s">
        <v>17</v>
      </c>
      <c r="BB24" s="148"/>
    </row>
    <row r="25" spans="2:54" x14ac:dyDescent="0.2">
      <c r="B25" s="403" t="s">
        <v>184</v>
      </c>
      <c r="C25" s="412" t="s">
        <v>294</v>
      </c>
      <c r="D25" s="411"/>
      <c r="E25" s="411"/>
      <c r="F25" s="401"/>
      <c r="G25" s="401"/>
      <c r="H25" s="401"/>
      <c r="I25" s="401"/>
      <c r="J25" s="401"/>
      <c r="K25" s="401"/>
      <c r="L25" s="402">
        <f>(G25-F25)+(I25-H25)+(K25-J25)</f>
        <v>0</v>
      </c>
      <c r="M25" s="402">
        <f>M24+L25</f>
        <v>0</v>
      </c>
      <c r="N25" s="402">
        <f>IF(Jan!$H$48="x",AV25+Jan!$N$37,AV25)</f>
        <v>11.083333333333329</v>
      </c>
      <c r="O25" s="408" t="str">
        <f t="shared" si="2"/>
        <v>-</v>
      </c>
      <c r="P25" s="413">
        <f t="shared" si="3"/>
        <v>11.083333333333329</v>
      </c>
      <c r="Q25" s="410">
        <f t="shared" si="4"/>
        <v>0</v>
      </c>
      <c r="R25" s="410">
        <f t="shared" si="5"/>
        <v>0</v>
      </c>
      <c r="S25" s="410">
        <f t="shared" si="6"/>
        <v>0</v>
      </c>
      <c r="T25" s="410">
        <f t="shared" si="7"/>
        <v>0</v>
      </c>
      <c r="U25" s="402">
        <f t="shared" si="8"/>
        <v>0</v>
      </c>
      <c r="V25" s="402">
        <f>L25</f>
        <v>0</v>
      </c>
      <c r="W25" s="402">
        <f t="shared" si="9"/>
        <v>0</v>
      </c>
      <c r="X25" s="402">
        <f t="shared" si="10"/>
        <v>0</v>
      </c>
      <c r="Y25" s="411"/>
      <c r="Z25" s="401"/>
      <c r="AA25" s="401"/>
      <c r="AB25" s="420">
        <f t="shared" si="16"/>
        <v>0</v>
      </c>
      <c r="AC25" s="420">
        <f t="shared" si="17"/>
        <v>0</v>
      </c>
      <c r="AD25" s="420">
        <f t="shared" si="18"/>
        <v>0</v>
      </c>
      <c r="AE25" s="420">
        <f t="shared" si="19"/>
        <v>0</v>
      </c>
      <c r="AF25" s="421">
        <f t="shared" si="20"/>
        <v>0</v>
      </c>
      <c r="AG25" s="420">
        <f t="shared" si="21"/>
        <v>0</v>
      </c>
      <c r="AH25" s="421">
        <f t="shared" si="22"/>
        <v>0</v>
      </c>
      <c r="AI25" s="420">
        <f t="shared" si="23"/>
        <v>0</v>
      </c>
      <c r="AJ25" s="422">
        <f>IF((D25&lt;&gt;""),VLOOKUP(D25,Données!$E$36:$H$59,4,FALSE),)</f>
        <v>0</v>
      </c>
      <c r="AK25" s="422">
        <f t="shared" si="24"/>
        <v>0</v>
      </c>
      <c r="AL25" s="423">
        <f t="shared" si="25"/>
        <v>0</v>
      </c>
      <c r="AM25" s="424">
        <f t="shared" si="26"/>
        <v>0</v>
      </c>
      <c r="AN25" s="425">
        <f t="shared" si="11"/>
        <v>0</v>
      </c>
      <c r="AO25" s="422">
        <f t="shared" si="12"/>
        <v>0</v>
      </c>
      <c r="AP25" s="426">
        <f t="shared" si="27"/>
        <v>0</v>
      </c>
      <c r="AQ25" s="426">
        <f t="shared" si="28"/>
        <v>0</v>
      </c>
      <c r="AR25" s="426">
        <f t="shared" si="29"/>
        <v>0</v>
      </c>
      <c r="AS25" s="426">
        <f t="shared" si="30"/>
        <v>0</v>
      </c>
      <c r="AT25" s="424">
        <f t="shared" si="13"/>
        <v>0</v>
      </c>
      <c r="AU25" s="424">
        <f t="shared" si="14"/>
        <v>0</v>
      </c>
      <c r="AV25" s="402">
        <f>IF(Données!$H$8="x",AW25,AX25)</f>
        <v>4.4333333333333318</v>
      </c>
      <c r="AW25" s="402">
        <f t="shared" si="0"/>
        <v>2.2166666666666659</v>
      </c>
      <c r="AX25" s="402">
        <f>AX24</f>
        <v>4.4333333333333318</v>
      </c>
      <c r="AY25" s="403" t="str">
        <f t="shared" si="15"/>
        <v>Sa</v>
      </c>
      <c r="AZ25" s="423">
        <f>IF((S38="M6")*AND(S39&lt;&gt;""),VLOOKUP(S39,Échelle!$BS$5:$BT$31,2),)</f>
        <v>0</v>
      </c>
      <c r="BA25" s="424" t="s">
        <v>18</v>
      </c>
      <c r="BB25" s="148"/>
    </row>
    <row r="26" spans="2:54" x14ac:dyDescent="0.2">
      <c r="B26" s="403" t="s">
        <v>186</v>
      </c>
      <c r="C26" s="412" t="s">
        <v>295</v>
      </c>
      <c r="D26" s="411"/>
      <c r="E26" s="411"/>
      <c r="F26" s="401"/>
      <c r="G26" s="401"/>
      <c r="H26" s="401"/>
      <c r="I26" s="401"/>
      <c r="J26" s="401"/>
      <c r="K26" s="401"/>
      <c r="L26" s="402">
        <f>(G26-F26)+(I26-H26)+(K26-J26)</f>
        <v>0</v>
      </c>
      <c r="M26" s="402">
        <f t="shared" si="1"/>
        <v>0</v>
      </c>
      <c r="N26" s="402">
        <f>IF(Jan!$H$48="x",AV26+Jan!$N$37,AV26)</f>
        <v>11.083333333333329</v>
      </c>
      <c r="O26" s="408" t="str">
        <f t="shared" si="2"/>
        <v>-</v>
      </c>
      <c r="P26" s="413">
        <f t="shared" si="3"/>
        <v>11.083333333333329</v>
      </c>
      <c r="Q26" s="410">
        <f t="shared" si="4"/>
        <v>0</v>
      </c>
      <c r="R26" s="410">
        <f t="shared" si="5"/>
        <v>0</v>
      </c>
      <c r="S26" s="410">
        <f t="shared" si="6"/>
        <v>0</v>
      </c>
      <c r="T26" s="410">
        <f t="shared" si="7"/>
        <v>0</v>
      </c>
      <c r="U26" s="402">
        <f t="shared" si="8"/>
        <v>0</v>
      </c>
      <c r="V26" s="402">
        <f>L26</f>
        <v>0</v>
      </c>
      <c r="W26" s="402">
        <f t="shared" si="9"/>
        <v>0</v>
      </c>
      <c r="X26" s="402">
        <f t="shared" si="10"/>
        <v>0</v>
      </c>
      <c r="Y26" s="411"/>
      <c r="Z26" s="401"/>
      <c r="AA26" s="401"/>
      <c r="AB26" s="420">
        <f t="shared" si="16"/>
        <v>0</v>
      </c>
      <c r="AC26" s="420">
        <f t="shared" si="17"/>
        <v>0</v>
      </c>
      <c r="AD26" s="420">
        <f t="shared" si="18"/>
        <v>0</v>
      </c>
      <c r="AE26" s="420">
        <f t="shared" si="19"/>
        <v>0</v>
      </c>
      <c r="AF26" s="421">
        <f t="shared" si="20"/>
        <v>0</v>
      </c>
      <c r="AG26" s="420">
        <f t="shared" si="21"/>
        <v>0</v>
      </c>
      <c r="AH26" s="421">
        <f t="shared" si="22"/>
        <v>0</v>
      </c>
      <c r="AI26" s="420">
        <f t="shared" si="23"/>
        <v>0</v>
      </c>
      <c r="AJ26" s="422">
        <f>IF((D26&lt;&gt;""),VLOOKUP(D26,Données!$E$36:$H$59,4,FALSE),)</f>
        <v>0</v>
      </c>
      <c r="AK26" s="422">
        <f t="shared" si="24"/>
        <v>0</v>
      </c>
      <c r="AL26" s="423">
        <f t="shared" si="25"/>
        <v>0</v>
      </c>
      <c r="AM26" s="424">
        <f t="shared" si="26"/>
        <v>0</v>
      </c>
      <c r="AN26" s="425">
        <f t="shared" si="11"/>
        <v>0</v>
      </c>
      <c r="AO26" s="422">
        <f t="shared" si="12"/>
        <v>0</v>
      </c>
      <c r="AP26" s="426">
        <f t="shared" si="27"/>
        <v>0</v>
      </c>
      <c r="AQ26" s="426">
        <f t="shared" si="28"/>
        <v>0</v>
      </c>
      <c r="AR26" s="426">
        <f t="shared" si="29"/>
        <v>0</v>
      </c>
      <c r="AS26" s="426">
        <f t="shared" si="30"/>
        <v>0</v>
      </c>
      <c r="AT26" s="424">
        <f t="shared" si="13"/>
        <v>0</v>
      </c>
      <c r="AU26" s="424">
        <f t="shared" si="14"/>
        <v>0</v>
      </c>
      <c r="AV26" s="402">
        <f>IF(Données!$H$8="x",AW26,AX26)</f>
        <v>4.4333333333333318</v>
      </c>
      <c r="AW26" s="402">
        <f t="shared" si="0"/>
        <v>2.2166666666666659</v>
      </c>
      <c r="AX26" s="402">
        <f>AX25</f>
        <v>4.4333333333333318</v>
      </c>
      <c r="AY26" s="403" t="str">
        <f t="shared" si="15"/>
        <v>Di</v>
      </c>
      <c r="AZ26" s="423">
        <f>IF((S38="M7")*AND(S39&lt;&gt;""),VLOOKUP(S39,Échelle!$BV$5:$BW$31,2),)</f>
        <v>0</v>
      </c>
      <c r="BA26" s="424" t="s">
        <v>19</v>
      </c>
      <c r="BB26" s="148"/>
    </row>
    <row r="27" spans="2:54" x14ac:dyDescent="0.2">
      <c r="B27" s="467" t="s">
        <v>188</v>
      </c>
      <c r="C27" s="468" t="s">
        <v>296</v>
      </c>
      <c r="D27" s="469"/>
      <c r="E27" s="469"/>
      <c r="F27" s="470"/>
      <c r="G27" s="470"/>
      <c r="H27" s="470"/>
      <c r="I27" s="470"/>
      <c r="J27" s="470"/>
      <c r="K27" s="470"/>
      <c r="L27" s="471">
        <f>(G27-F27)+(I27-H27)+(K27-J27)+AJ27+AO27</f>
        <v>0</v>
      </c>
      <c r="M27" s="471">
        <f t="shared" si="1"/>
        <v>0</v>
      </c>
      <c r="N27" s="471">
        <f>IF(Jan!$H$48="x",AV27+Jan!$N$37,AV27)</f>
        <v>11.399999999999995</v>
      </c>
      <c r="O27" s="483" t="str">
        <f t="shared" si="2"/>
        <v>-</v>
      </c>
      <c r="P27" s="473">
        <f t="shared" si="3"/>
        <v>11.399999999999995</v>
      </c>
      <c r="Q27" s="474">
        <f t="shared" si="4"/>
        <v>0</v>
      </c>
      <c r="R27" s="474">
        <f t="shared" si="5"/>
        <v>0</v>
      </c>
      <c r="S27" s="474">
        <f t="shared" si="6"/>
        <v>0</v>
      </c>
      <c r="T27" s="474">
        <f t="shared" si="7"/>
        <v>0</v>
      </c>
      <c r="U27" s="471">
        <f t="shared" si="8"/>
        <v>0</v>
      </c>
      <c r="V27" s="471">
        <f>IF(D27="F",L27,0)</f>
        <v>0</v>
      </c>
      <c r="W27" s="471">
        <f t="shared" si="9"/>
        <v>0</v>
      </c>
      <c r="X27" s="471">
        <f t="shared" si="10"/>
        <v>0</v>
      </c>
      <c r="Y27" s="469"/>
      <c r="Z27" s="470"/>
      <c r="AA27" s="470"/>
      <c r="AB27" s="475">
        <f t="shared" si="16"/>
        <v>0</v>
      </c>
      <c r="AC27" s="475">
        <f t="shared" si="17"/>
        <v>0</v>
      </c>
      <c r="AD27" s="475">
        <f t="shared" si="18"/>
        <v>0</v>
      </c>
      <c r="AE27" s="475">
        <f t="shared" si="19"/>
        <v>0</v>
      </c>
      <c r="AF27" s="476">
        <f t="shared" si="20"/>
        <v>0</v>
      </c>
      <c r="AG27" s="475">
        <f t="shared" si="21"/>
        <v>0</v>
      </c>
      <c r="AH27" s="476">
        <f t="shared" si="22"/>
        <v>0</v>
      </c>
      <c r="AI27" s="475">
        <f t="shared" si="23"/>
        <v>0</v>
      </c>
      <c r="AJ27" s="477">
        <f>IF((D27&lt;&gt;""),VLOOKUP(D27,Données!$E$36:$H$59,4,FALSE),)</f>
        <v>0</v>
      </c>
      <c r="AK27" s="477">
        <f t="shared" si="24"/>
        <v>0</v>
      </c>
      <c r="AL27" s="478">
        <f t="shared" si="25"/>
        <v>0</v>
      </c>
      <c r="AM27" s="479">
        <f t="shared" si="26"/>
        <v>0</v>
      </c>
      <c r="AN27" s="480">
        <f t="shared" si="11"/>
        <v>0</v>
      </c>
      <c r="AO27" s="477">
        <f t="shared" si="12"/>
        <v>0</v>
      </c>
      <c r="AP27" s="481">
        <f t="shared" si="27"/>
        <v>0</v>
      </c>
      <c r="AQ27" s="481">
        <f t="shared" si="28"/>
        <v>0</v>
      </c>
      <c r="AR27" s="481">
        <f t="shared" si="29"/>
        <v>0</v>
      </c>
      <c r="AS27" s="481">
        <f t="shared" si="30"/>
        <v>0</v>
      </c>
      <c r="AT27" s="479">
        <f t="shared" si="13"/>
        <v>0</v>
      </c>
      <c r="AU27" s="479">
        <f t="shared" si="14"/>
        <v>0</v>
      </c>
      <c r="AV27" s="471">
        <f>IF(Données!$H$8="x",AW27,AX27)</f>
        <v>4.7499999999999982</v>
      </c>
      <c r="AW27" s="471">
        <f t="shared" si="0"/>
        <v>2.3749999999999991</v>
      </c>
      <c r="AX27" s="471">
        <f t="shared" ref="AX27:AX31" si="33">IF(D27="L",AX26,(AX26+"07:36"))</f>
        <v>4.7499999999999982</v>
      </c>
      <c r="AY27" s="467" t="str">
        <f t="shared" si="15"/>
        <v>Lu</v>
      </c>
      <c r="AZ27" s="478">
        <f>IF((S38="M7bis")*AND(S39&lt;&gt;""),VLOOKUP(S39,Échelle!$BY$5:$BZ$31,2),)</f>
        <v>0</v>
      </c>
      <c r="BA27" s="479" t="s">
        <v>20</v>
      </c>
      <c r="BB27" s="148"/>
    </row>
    <row r="28" spans="2:54" x14ac:dyDescent="0.2">
      <c r="B28" s="467" t="s">
        <v>176</v>
      </c>
      <c r="C28" s="468" t="s">
        <v>297</v>
      </c>
      <c r="D28" s="469"/>
      <c r="E28" s="469"/>
      <c r="F28" s="470"/>
      <c r="G28" s="470"/>
      <c r="H28" s="470"/>
      <c r="I28" s="470"/>
      <c r="J28" s="470"/>
      <c r="K28" s="470"/>
      <c r="L28" s="471">
        <f>(G28-F28)+(I28-H28)+(K28-J28)+AJ28+AO28</f>
        <v>0</v>
      </c>
      <c r="M28" s="471">
        <f t="shared" si="1"/>
        <v>0</v>
      </c>
      <c r="N28" s="471">
        <f>IF(Jan!$H$48="x",AV28+Jan!$N$37,AV28)</f>
        <v>11.716666666666661</v>
      </c>
      <c r="O28" s="483" t="str">
        <f t="shared" si="2"/>
        <v>-</v>
      </c>
      <c r="P28" s="473">
        <f t="shared" si="3"/>
        <v>11.716666666666661</v>
      </c>
      <c r="Q28" s="474">
        <f t="shared" si="4"/>
        <v>0</v>
      </c>
      <c r="R28" s="474">
        <f t="shared" si="5"/>
        <v>0</v>
      </c>
      <c r="S28" s="474">
        <f t="shared" si="6"/>
        <v>0</v>
      </c>
      <c r="T28" s="474">
        <f t="shared" si="7"/>
        <v>0</v>
      </c>
      <c r="U28" s="471">
        <f t="shared" si="8"/>
        <v>0</v>
      </c>
      <c r="V28" s="471">
        <f>IF(D28="F",L28,0)</f>
        <v>0</v>
      </c>
      <c r="W28" s="471">
        <f t="shared" si="9"/>
        <v>0</v>
      </c>
      <c r="X28" s="471">
        <f t="shared" si="10"/>
        <v>0</v>
      </c>
      <c r="Y28" s="469"/>
      <c r="Z28" s="470"/>
      <c r="AA28" s="470"/>
      <c r="AB28" s="475">
        <f t="shared" si="16"/>
        <v>0</v>
      </c>
      <c r="AC28" s="475">
        <f t="shared" si="17"/>
        <v>0</v>
      </c>
      <c r="AD28" s="475">
        <f t="shared" si="18"/>
        <v>0</v>
      </c>
      <c r="AE28" s="475">
        <f t="shared" si="19"/>
        <v>0</v>
      </c>
      <c r="AF28" s="476">
        <f t="shared" si="20"/>
        <v>0</v>
      </c>
      <c r="AG28" s="475">
        <f t="shared" si="21"/>
        <v>0</v>
      </c>
      <c r="AH28" s="476">
        <f t="shared" si="22"/>
        <v>0</v>
      </c>
      <c r="AI28" s="475">
        <f t="shared" si="23"/>
        <v>0</v>
      </c>
      <c r="AJ28" s="477">
        <f>IF((D28&lt;&gt;""),VLOOKUP(D28,Données!$E$36:$H$59,4,FALSE),)</f>
        <v>0</v>
      </c>
      <c r="AK28" s="477">
        <f t="shared" si="24"/>
        <v>0</v>
      </c>
      <c r="AL28" s="478">
        <f t="shared" si="25"/>
        <v>0</v>
      </c>
      <c r="AM28" s="479">
        <f t="shared" si="26"/>
        <v>0</v>
      </c>
      <c r="AN28" s="480">
        <f t="shared" si="11"/>
        <v>0</v>
      </c>
      <c r="AO28" s="477">
        <f t="shared" si="12"/>
        <v>0</v>
      </c>
      <c r="AP28" s="481">
        <f t="shared" si="27"/>
        <v>0</v>
      </c>
      <c r="AQ28" s="481">
        <f t="shared" si="28"/>
        <v>0</v>
      </c>
      <c r="AR28" s="481">
        <f t="shared" si="29"/>
        <v>0</v>
      </c>
      <c r="AS28" s="481">
        <f t="shared" si="30"/>
        <v>0</v>
      </c>
      <c r="AT28" s="479">
        <f t="shared" si="13"/>
        <v>0</v>
      </c>
      <c r="AU28" s="479">
        <f t="shared" si="14"/>
        <v>0</v>
      </c>
      <c r="AV28" s="471">
        <f>IF(Données!$H$8="x",AW28,AX28)</f>
        <v>5.0666666666666647</v>
      </c>
      <c r="AW28" s="471">
        <f t="shared" si="0"/>
        <v>2.5333333333333323</v>
      </c>
      <c r="AX28" s="471">
        <f t="shared" si="33"/>
        <v>5.0666666666666647</v>
      </c>
      <c r="AY28" s="467" t="str">
        <f t="shared" si="15"/>
        <v>Ma</v>
      </c>
      <c r="AZ28" s="478">
        <f>IF((S38="O1")*AND(S39&lt;&gt;""),VLOOKUP(S39,Échelle!$Q$39:$R$65,2),)</f>
        <v>0</v>
      </c>
      <c r="BA28" s="479" t="s">
        <v>22</v>
      </c>
      <c r="BB28" s="148"/>
    </row>
    <row r="29" spans="2:54" x14ac:dyDescent="0.2">
      <c r="B29" s="467" t="s">
        <v>178</v>
      </c>
      <c r="C29" s="468" t="s">
        <v>298</v>
      </c>
      <c r="D29" s="469"/>
      <c r="E29" s="469"/>
      <c r="F29" s="470"/>
      <c r="G29" s="470"/>
      <c r="H29" s="470"/>
      <c r="I29" s="470"/>
      <c r="J29" s="470"/>
      <c r="K29" s="470"/>
      <c r="L29" s="471">
        <f>(G29-F29)+(I29-H29)+(K29-J29)+AJ29+AO29</f>
        <v>0</v>
      </c>
      <c r="M29" s="471">
        <f t="shared" si="1"/>
        <v>0</v>
      </c>
      <c r="N29" s="471">
        <f>IF(Jan!$H$48="x",AV29+Jan!$N$37,AV29)</f>
        <v>12.033333333333328</v>
      </c>
      <c r="O29" s="483" t="str">
        <f t="shared" si="2"/>
        <v>-</v>
      </c>
      <c r="P29" s="473">
        <f t="shared" si="3"/>
        <v>12.033333333333328</v>
      </c>
      <c r="Q29" s="474">
        <f t="shared" si="4"/>
        <v>0</v>
      </c>
      <c r="R29" s="474">
        <f t="shared" si="5"/>
        <v>0</v>
      </c>
      <c r="S29" s="474">
        <f t="shared" si="6"/>
        <v>0</v>
      </c>
      <c r="T29" s="474">
        <f t="shared" si="7"/>
        <v>0</v>
      </c>
      <c r="U29" s="471">
        <f t="shared" si="8"/>
        <v>0</v>
      </c>
      <c r="V29" s="471">
        <f>IF(D29="F",L29,0)</f>
        <v>0</v>
      </c>
      <c r="W29" s="471">
        <f t="shared" si="9"/>
        <v>0</v>
      </c>
      <c r="X29" s="471">
        <f t="shared" si="10"/>
        <v>0</v>
      </c>
      <c r="Y29" s="469"/>
      <c r="Z29" s="470"/>
      <c r="AA29" s="470"/>
      <c r="AB29" s="475">
        <f t="shared" si="16"/>
        <v>0</v>
      </c>
      <c r="AC29" s="475">
        <f t="shared" si="17"/>
        <v>0</v>
      </c>
      <c r="AD29" s="475">
        <f t="shared" si="18"/>
        <v>0</v>
      </c>
      <c r="AE29" s="475">
        <f t="shared" si="19"/>
        <v>0</v>
      </c>
      <c r="AF29" s="476">
        <f t="shared" si="20"/>
        <v>0</v>
      </c>
      <c r="AG29" s="475">
        <f t="shared" si="21"/>
        <v>0</v>
      </c>
      <c r="AH29" s="476">
        <f t="shared" si="22"/>
        <v>0</v>
      </c>
      <c r="AI29" s="475">
        <f t="shared" si="23"/>
        <v>0</v>
      </c>
      <c r="AJ29" s="477">
        <f>IF((D29&lt;&gt;""),VLOOKUP(D29,Données!$E$36:$H$59,4,FALSE),)</f>
        <v>0</v>
      </c>
      <c r="AK29" s="477">
        <f t="shared" si="24"/>
        <v>0</v>
      </c>
      <c r="AL29" s="478">
        <f t="shared" si="25"/>
        <v>0</v>
      </c>
      <c r="AM29" s="479">
        <f t="shared" si="26"/>
        <v>0</v>
      </c>
      <c r="AN29" s="480">
        <f t="shared" si="11"/>
        <v>0</v>
      </c>
      <c r="AO29" s="477">
        <f t="shared" si="12"/>
        <v>0</v>
      </c>
      <c r="AP29" s="481">
        <f t="shared" si="27"/>
        <v>0</v>
      </c>
      <c r="AQ29" s="481">
        <f t="shared" si="28"/>
        <v>0</v>
      </c>
      <c r="AR29" s="481">
        <f t="shared" si="29"/>
        <v>0</v>
      </c>
      <c r="AS29" s="481">
        <f t="shared" si="30"/>
        <v>0</v>
      </c>
      <c r="AT29" s="479">
        <f t="shared" si="13"/>
        <v>0</v>
      </c>
      <c r="AU29" s="479">
        <f t="shared" si="14"/>
        <v>0</v>
      </c>
      <c r="AV29" s="471">
        <f>IF(Données!$H$8="x",AW29,AX29)</f>
        <v>5.3833333333333311</v>
      </c>
      <c r="AW29" s="471">
        <f t="shared" si="0"/>
        <v>2.6916666666666655</v>
      </c>
      <c r="AX29" s="471">
        <f t="shared" si="33"/>
        <v>5.3833333333333311</v>
      </c>
      <c r="AY29" s="467" t="str">
        <f t="shared" si="15"/>
        <v>Me</v>
      </c>
      <c r="AZ29" s="478">
        <f>IF((S38="O2")*AND(S39&lt;&gt;""),VLOOKUP(S39,Échelle!$T$39:$U$65,2),)</f>
        <v>0</v>
      </c>
      <c r="BA29" s="479" t="s">
        <v>23</v>
      </c>
      <c r="BB29" s="148"/>
    </row>
    <row r="30" spans="2:54" x14ac:dyDescent="0.2">
      <c r="B30" s="467" t="s">
        <v>180</v>
      </c>
      <c r="C30" s="468" t="s">
        <v>299</v>
      </c>
      <c r="D30" s="469"/>
      <c r="E30" s="469"/>
      <c r="F30" s="470"/>
      <c r="G30" s="470"/>
      <c r="H30" s="470"/>
      <c r="I30" s="470"/>
      <c r="J30" s="470"/>
      <c r="K30" s="470"/>
      <c r="L30" s="471">
        <f>(G30-F30)+(I30-H30)+(K30-J30)+AJ30+AO30</f>
        <v>0</v>
      </c>
      <c r="M30" s="471">
        <f t="shared" si="1"/>
        <v>0</v>
      </c>
      <c r="N30" s="471">
        <f>IF(Jan!$H$48="x",AV30+Jan!$N$37,AV30)</f>
        <v>12.349999999999994</v>
      </c>
      <c r="O30" s="483" t="str">
        <f t="shared" si="2"/>
        <v>-</v>
      </c>
      <c r="P30" s="473">
        <f t="shared" si="3"/>
        <v>12.349999999999994</v>
      </c>
      <c r="Q30" s="474">
        <f t="shared" si="4"/>
        <v>0</v>
      </c>
      <c r="R30" s="474">
        <f t="shared" si="5"/>
        <v>0</v>
      </c>
      <c r="S30" s="474">
        <f t="shared" si="6"/>
        <v>0</v>
      </c>
      <c r="T30" s="474">
        <f t="shared" si="7"/>
        <v>0</v>
      </c>
      <c r="U30" s="471">
        <f t="shared" si="8"/>
        <v>0</v>
      </c>
      <c r="V30" s="471">
        <f>IF(D30="F",L30,0)</f>
        <v>0</v>
      </c>
      <c r="W30" s="471">
        <f t="shared" si="9"/>
        <v>0</v>
      </c>
      <c r="X30" s="471">
        <f t="shared" si="10"/>
        <v>0</v>
      </c>
      <c r="Y30" s="469"/>
      <c r="Z30" s="470"/>
      <c r="AA30" s="470"/>
      <c r="AB30" s="475">
        <f t="shared" si="16"/>
        <v>0</v>
      </c>
      <c r="AC30" s="475">
        <f t="shared" si="17"/>
        <v>0</v>
      </c>
      <c r="AD30" s="475">
        <f t="shared" si="18"/>
        <v>0</v>
      </c>
      <c r="AE30" s="475">
        <f t="shared" si="19"/>
        <v>0</v>
      </c>
      <c r="AF30" s="476">
        <f t="shared" si="20"/>
        <v>0</v>
      </c>
      <c r="AG30" s="475">
        <f t="shared" si="21"/>
        <v>0</v>
      </c>
      <c r="AH30" s="476">
        <f t="shared" si="22"/>
        <v>0</v>
      </c>
      <c r="AI30" s="475">
        <f t="shared" si="23"/>
        <v>0</v>
      </c>
      <c r="AJ30" s="477">
        <f>IF((D30&lt;&gt;""),VLOOKUP(D30,Données!$E$36:$H$59,4,FALSE),)</f>
        <v>0</v>
      </c>
      <c r="AK30" s="477">
        <f t="shared" si="24"/>
        <v>0</v>
      </c>
      <c r="AL30" s="478">
        <f t="shared" si="25"/>
        <v>0</v>
      </c>
      <c r="AM30" s="479">
        <f t="shared" si="26"/>
        <v>0</v>
      </c>
      <c r="AN30" s="480">
        <f t="shared" si="11"/>
        <v>0</v>
      </c>
      <c r="AO30" s="477">
        <f t="shared" si="12"/>
        <v>0</v>
      </c>
      <c r="AP30" s="481">
        <f t="shared" si="27"/>
        <v>0</v>
      </c>
      <c r="AQ30" s="481">
        <f t="shared" si="28"/>
        <v>0</v>
      </c>
      <c r="AR30" s="481">
        <f t="shared" si="29"/>
        <v>0</v>
      </c>
      <c r="AS30" s="481">
        <f t="shared" si="30"/>
        <v>0</v>
      </c>
      <c r="AT30" s="479">
        <f t="shared" si="13"/>
        <v>0</v>
      </c>
      <c r="AU30" s="479">
        <f t="shared" si="14"/>
        <v>0</v>
      </c>
      <c r="AV30" s="471">
        <f>IF(Données!$H$8="x",AW30,AX30)</f>
        <v>5.6999999999999975</v>
      </c>
      <c r="AW30" s="471">
        <f t="shared" si="0"/>
        <v>2.8499999999999988</v>
      </c>
      <c r="AX30" s="471">
        <f t="shared" si="33"/>
        <v>5.6999999999999975</v>
      </c>
      <c r="AY30" s="467" t="str">
        <f t="shared" si="15"/>
        <v>Je</v>
      </c>
      <c r="AZ30" s="478">
        <f>IF((S38="O2ir")*AND(S39&lt;&gt;""),VLOOKUP(S39,Échelle!$AR$39:$AS$65,2),)</f>
        <v>0</v>
      </c>
      <c r="BA30" s="479" t="s">
        <v>31</v>
      </c>
      <c r="BB30" s="148"/>
    </row>
    <row r="31" spans="2:54" x14ac:dyDescent="0.2">
      <c r="B31" s="467" t="s">
        <v>182</v>
      </c>
      <c r="C31" s="468" t="s">
        <v>300</v>
      </c>
      <c r="D31" s="469"/>
      <c r="E31" s="469"/>
      <c r="F31" s="470"/>
      <c r="G31" s="470"/>
      <c r="H31" s="470"/>
      <c r="I31" s="470"/>
      <c r="J31" s="470"/>
      <c r="K31" s="470"/>
      <c r="L31" s="471">
        <f>(G31-F31)+(I31-H31)+(K31-J31)+AJ31+AO31</f>
        <v>0</v>
      </c>
      <c r="M31" s="471">
        <f t="shared" si="1"/>
        <v>0</v>
      </c>
      <c r="N31" s="471">
        <f>IF(Jan!$H$48="x",AV31+Jan!$N$37,AV31)</f>
        <v>12.666666666666661</v>
      </c>
      <c r="O31" s="483" t="str">
        <f t="shared" si="2"/>
        <v>-</v>
      </c>
      <c r="P31" s="473">
        <f t="shared" si="3"/>
        <v>12.666666666666661</v>
      </c>
      <c r="Q31" s="474">
        <f t="shared" si="4"/>
        <v>0</v>
      </c>
      <c r="R31" s="474">
        <f t="shared" si="5"/>
        <v>0</v>
      </c>
      <c r="S31" s="474">
        <f t="shared" si="6"/>
        <v>0</v>
      </c>
      <c r="T31" s="474">
        <f t="shared" si="7"/>
        <v>0</v>
      </c>
      <c r="U31" s="471">
        <f t="shared" si="8"/>
        <v>0</v>
      </c>
      <c r="V31" s="471">
        <f>IF(D31="F",L31,0)</f>
        <v>0</v>
      </c>
      <c r="W31" s="471">
        <f t="shared" si="9"/>
        <v>0</v>
      </c>
      <c r="X31" s="471">
        <f t="shared" si="10"/>
        <v>0</v>
      </c>
      <c r="Y31" s="469"/>
      <c r="Z31" s="470"/>
      <c r="AA31" s="470"/>
      <c r="AB31" s="475">
        <f t="shared" si="16"/>
        <v>0</v>
      </c>
      <c r="AC31" s="475">
        <f t="shared" si="17"/>
        <v>0</v>
      </c>
      <c r="AD31" s="475">
        <f t="shared" si="18"/>
        <v>0</v>
      </c>
      <c r="AE31" s="475">
        <f t="shared" si="19"/>
        <v>0</v>
      </c>
      <c r="AF31" s="476">
        <f t="shared" si="20"/>
        <v>0</v>
      </c>
      <c r="AG31" s="475">
        <f t="shared" si="21"/>
        <v>0</v>
      </c>
      <c r="AH31" s="476">
        <f t="shared" si="22"/>
        <v>0</v>
      </c>
      <c r="AI31" s="475">
        <f t="shared" si="23"/>
        <v>0</v>
      </c>
      <c r="AJ31" s="477">
        <f>IF((D31&lt;&gt;""),VLOOKUP(D31,Données!$E$36:$H$59,4,FALSE),)</f>
        <v>0</v>
      </c>
      <c r="AK31" s="477">
        <f t="shared" si="24"/>
        <v>0</v>
      </c>
      <c r="AL31" s="478">
        <f t="shared" si="25"/>
        <v>0</v>
      </c>
      <c r="AM31" s="479">
        <f t="shared" si="26"/>
        <v>0</v>
      </c>
      <c r="AN31" s="480">
        <f t="shared" si="11"/>
        <v>0</v>
      </c>
      <c r="AO31" s="477">
        <f t="shared" si="12"/>
        <v>0</v>
      </c>
      <c r="AP31" s="481">
        <f t="shared" si="27"/>
        <v>0</v>
      </c>
      <c r="AQ31" s="481">
        <f t="shared" si="28"/>
        <v>0</v>
      </c>
      <c r="AR31" s="481">
        <f t="shared" si="29"/>
        <v>0</v>
      </c>
      <c r="AS31" s="481">
        <f t="shared" si="30"/>
        <v>0</v>
      </c>
      <c r="AT31" s="479">
        <f t="shared" si="13"/>
        <v>0</v>
      </c>
      <c r="AU31" s="479">
        <f t="shared" si="14"/>
        <v>0</v>
      </c>
      <c r="AV31" s="471">
        <f>IF(Données!$H$8="x",AW31,AX31)</f>
        <v>6.0166666666666639</v>
      </c>
      <c r="AW31" s="471">
        <f t="shared" si="0"/>
        <v>3.008333333333332</v>
      </c>
      <c r="AX31" s="471">
        <f t="shared" si="33"/>
        <v>6.0166666666666639</v>
      </c>
      <c r="AY31" s="467" t="str">
        <f t="shared" si="15"/>
        <v>Ve</v>
      </c>
      <c r="AZ31" s="478">
        <f>IF((S38="O3")*AND(S39&lt;&gt;""),VLOOKUP(S39,Échelle!$W$39:$X$65,2),)</f>
        <v>0</v>
      </c>
      <c r="BA31" s="479" t="s">
        <v>24</v>
      </c>
      <c r="BB31" s="148"/>
    </row>
    <row r="32" spans="2:54" x14ac:dyDescent="0.2">
      <c r="B32" s="403" t="s">
        <v>184</v>
      </c>
      <c r="C32" s="412" t="s">
        <v>301</v>
      </c>
      <c r="D32" s="411"/>
      <c r="E32" s="411"/>
      <c r="F32" s="401"/>
      <c r="G32" s="401"/>
      <c r="H32" s="401"/>
      <c r="I32" s="401"/>
      <c r="J32" s="401"/>
      <c r="K32" s="401"/>
      <c r="L32" s="402">
        <f>(G32-F32)+(I32-H32)+(K32-J32)</f>
        <v>0</v>
      </c>
      <c r="M32" s="402">
        <f>M31+L32</f>
        <v>0</v>
      </c>
      <c r="N32" s="402">
        <f>IF(Jan!$H$48="x",AV32+Jan!$N$37,AV32)</f>
        <v>12.666666666666661</v>
      </c>
      <c r="O32" s="408" t="str">
        <f t="shared" si="2"/>
        <v>-</v>
      </c>
      <c r="P32" s="413">
        <f t="shared" si="3"/>
        <v>12.666666666666661</v>
      </c>
      <c r="Q32" s="410">
        <f t="shared" si="4"/>
        <v>0</v>
      </c>
      <c r="R32" s="410">
        <f t="shared" si="5"/>
        <v>0</v>
      </c>
      <c r="S32" s="410">
        <f t="shared" si="6"/>
        <v>0</v>
      </c>
      <c r="T32" s="410">
        <f t="shared" si="7"/>
        <v>0</v>
      </c>
      <c r="U32" s="402">
        <f t="shared" si="8"/>
        <v>0</v>
      </c>
      <c r="V32" s="402">
        <f>L32</f>
        <v>0</v>
      </c>
      <c r="W32" s="402">
        <f t="shared" si="9"/>
        <v>0</v>
      </c>
      <c r="X32" s="402">
        <f t="shared" si="10"/>
        <v>0</v>
      </c>
      <c r="Y32" s="411"/>
      <c r="Z32" s="401"/>
      <c r="AA32" s="401"/>
      <c r="AB32" s="420">
        <f t="shared" si="16"/>
        <v>0</v>
      </c>
      <c r="AC32" s="420">
        <f t="shared" si="17"/>
        <v>0</v>
      </c>
      <c r="AD32" s="420">
        <f t="shared" si="18"/>
        <v>0</v>
      </c>
      <c r="AE32" s="420">
        <f t="shared" si="19"/>
        <v>0</v>
      </c>
      <c r="AF32" s="421">
        <f t="shared" si="20"/>
        <v>0</v>
      </c>
      <c r="AG32" s="420">
        <f t="shared" si="21"/>
        <v>0</v>
      </c>
      <c r="AH32" s="421">
        <f t="shared" si="22"/>
        <v>0</v>
      </c>
      <c r="AI32" s="420">
        <f t="shared" si="23"/>
        <v>0</v>
      </c>
      <c r="AJ32" s="422">
        <f>IF((D32&lt;&gt;""),VLOOKUP(D32,Données!$E$36:$H$59,4,FALSE),)</f>
        <v>0</v>
      </c>
      <c r="AK32" s="422">
        <f t="shared" si="24"/>
        <v>0</v>
      </c>
      <c r="AL32" s="423">
        <f t="shared" si="25"/>
        <v>0</v>
      </c>
      <c r="AM32" s="424">
        <f t="shared" si="26"/>
        <v>0</v>
      </c>
      <c r="AN32" s="425">
        <f t="shared" si="11"/>
        <v>0</v>
      </c>
      <c r="AO32" s="422">
        <f t="shared" si="12"/>
        <v>0</v>
      </c>
      <c r="AP32" s="426">
        <f t="shared" si="27"/>
        <v>0</v>
      </c>
      <c r="AQ32" s="426">
        <f t="shared" si="28"/>
        <v>0</v>
      </c>
      <c r="AR32" s="426">
        <f t="shared" si="29"/>
        <v>0</v>
      </c>
      <c r="AS32" s="426">
        <f t="shared" si="30"/>
        <v>0</v>
      </c>
      <c r="AT32" s="424">
        <f t="shared" si="13"/>
        <v>0</v>
      </c>
      <c r="AU32" s="424">
        <f t="shared" si="14"/>
        <v>0</v>
      </c>
      <c r="AV32" s="402">
        <f>IF(Données!$H$8="x",AW32,AX32)</f>
        <v>6.0166666666666639</v>
      </c>
      <c r="AW32" s="402">
        <f t="shared" si="0"/>
        <v>3.008333333333332</v>
      </c>
      <c r="AX32" s="402">
        <f>AX31</f>
        <v>6.0166666666666639</v>
      </c>
      <c r="AY32" s="403" t="str">
        <f t="shared" si="15"/>
        <v>Sa</v>
      </c>
      <c r="AZ32" s="423">
        <f>IF((S38="O3ir")*AND(S39&lt;&gt;""),VLOOKUP(S39,Échelle!$AU$39:$AV$65,2),)</f>
        <v>0</v>
      </c>
      <c r="BA32" s="424" t="s">
        <v>32</v>
      </c>
      <c r="BB32" s="148"/>
    </row>
    <row r="33" spans="2:54" x14ac:dyDescent="0.2">
      <c r="B33" s="403" t="s">
        <v>186</v>
      </c>
      <c r="C33" s="412" t="s">
        <v>302</v>
      </c>
      <c r="D33" s="411"/>
      <c r="E33" s="411"/>
      <c r="F33" s="401"/>
      <c r="G33" s="401"/>
      <c r="H33" s="401"/>
      <c r="I33" s="401"/>
      <c r="J33" s="401"/>
      <c r="K33" s="401"/>
      <c r="L33" s="402">
        <f>(G33-F33)+(I33-H33)+(K33-J33)</f>
        <v>0</v>
      </c>
      <c r="M33" s="402">
        <f t="shared" si="1"/>
        <v>0</v>
      </c>
      <c r="N33" s="402">
        <f>IF(Jan!$H$48="x",AV33+Jan!$N$37,AV33)</f>
        <v>12.666666666666661</v>
      </c>
      <c r="O33" s="408" t="str">
        <f t="shared" si="2"/>
        <v>-</v>
      </c>
      <c r="P33" s="413">
        <f t="shared" si="3"/>
        <v>12.666666666666661</v>
      </c>
      <c r="Q33" s="410">
        <f t="shared" si="4"/>
        <v>0</v>
      </c>
      <c r="R33" s="410">
        <f t="shared" si="5"/>
        <v>0</v>
      </c>
      <c r="S33" s="410">
        <f t="shared" si="6"/>
        <v>0</v>
      </c>
      <c r="T33" s="410">
        <f t="shared" si="7"/>
        <v>0</v>
      </c>
      <c r="U33" s="402">
        <f t="shared" si="8"/>
        <v>0</v>
      </c>
      <c r="V33" s="402">
        <f>L33</f>
        <v>0</v>
      </c>
      <c r="W33" s="402">
        <f t="shared" si="9"/>
        <v>0</v>
      </c>
      <c r="X33" s="402">
        <f t="shared" si="10"/>
        <v>0</v>
      </c>
      <c r="Y33" s="411"/>
      <c r="Z33" s="401"/>
      <c r="AA33" s="401"/>
      <c r="AB33" s="420">
        <f t="shared" si="16"/>
        <v>0</v>
      </c>
      <c r="AC33" s="420">
        <f t="shared" si="17"/>
        <v>0</v>
      </c>
      <c r="AD33" s="420">
        <f t="shared" si="18"/>
        <v>0</v>
      </c>
      <c r="AE33" s="420">
        <f t="shared" si="19"/>
        <v>0</v>
      </c>
      <c r="AF33" s="421">
        <f t="shared" si="20"/>
        <v>0</v>
      </c>
      <c r="AG33" s="420">
        <f t="shared" si="21"/>
        <v>0</v>
      </c>
      <c r="AH33" s="421">
        <f t="shared" si="22"/>
        <v>0</v>
      </c>
      <c r="AI33" s="420">
        <f t="shared" si="23"/>
        <v>0</v>
      </c>
      <c r="AJ33" s="422">
        <f>IF((D33&lt;&gt;""),VLOOKUP(D33,Données!$E$36:$H$59,4,FALSE),)</f>
        <v>0</v>
      </c>
      <c r="AK33" s="422">
        <f t="shared" si="24"/>
        <v>0</v>
      </c>
      <c r="AL33" s="423">
        <f t="shared" si="25"/>
        <v>0</v>
      </c>
      <c r="AM33" s="424">
        <f t="shared" si="26"/>
        <v>0</v>
      </c>
      <c r="AN33" s="425">
        <f t="shared" si="11"/>
        <v>0</v>
      </c>
      <c r="AO33" s="422">
        <f t="shared" si="12"/>
        <v>0</v>
      </c>
      <c r="AP33" s="426">
        <f t="shared" si="27"/>
        <v>0</v>
      </c>
      <c r="AQ33" s="426">
        <f t="shared" si="28"/>
        <v>0</v>
      </c>
      <c r="AR33" s="426">
        <f t="shared" si="29"/>
        <v>0</v>
      </c>
      <c r="AS33" s="426">
        <f t="shared" si="30"/>
        <v>0</v>
      </c>
      <c r="AT33" s="424">
        <f t="shared" si="13"/>
        <v>0</v>
      </c>
      <c r="AU33" s="424">
        <f t="shared" si="14"/>
        <v>0</v>
      </c>
      <c r="AV33" s="402">
        <f>IF(Données!$H$8="x",AW33,AX33)</f>
        <v>6.0166666666666639</v>
      </c>
      <c r="AW33" s="402">
        <f t="shared" si="0"/>
        <v>3.008333333333332</v>
      </c>
      <c r="AX33" s="402">
        <f>AX32</f>
        <v>6.0166666666666639</v>
      </c>
      <c r="AY33" s="403" t="str">
        <f t="shared" si="15"/>
        <v>Di</v>
      </c>
      <c r="AZ33" s="423">
        <f>IF((S38="O4")*AND(S39&lt;&gt;""),VLOOKUP(S39,Échelle!$Z$39:$AA$65,2),)</f>
        <v>0</v>
      </c>
      <c r="BA33" s="424" t="s">
        <v>25</v>
      </c>
      <c r="BB33" s="148"/>
    </row>
    <row r="34" spans="2:54" x14ac:dyDescent="0.2">
      <c r="B34" s="467" t="s">
        <v>188</v>
      </c>
      <c r="C34" s="468" t="s">
        <v>303</v>
      </c>
      <c r="D34" s="469"/>
      <c r="E34" s="469"/>
      <c r="F34" s="470"/>
      <c r="G34" s="470"/>
      <c r="H34" s="470"/>
      <c r="I34" s="470"/>
      <c r="J34" s="470"/>
      <c r="K34" s="470"/>
      <c r="L34" s="471">
        <f>(G34-F34)+(I34-H34)+(K34-J34)+AJ34+AO34</f>
        <v>0</v>
      </c>
      <c r="M34" s="471">
        <f>M33+L34</f>
        <v>0</v>
      </c>
      <c r="N34" s="471">
        <f>IF(Jan!$H$48="x",AV34+Jan!$N$37,AV34)</f>
        <v>12.983333333333327</v>
      </c>
      <c r="O34" s="483" t="str">
        <f t="shared" si="2"/>
        <v>-</v>
      </c>
      <c r="P34" s="473">
        <f t="shared" si="3"/>
        <v>12.983333333333327</v>
      </c>
      <c r="Q34" s="474">
        <f t="shared" si="4"/>
        <v>0</v>
      </c>
      <c r="R34" s="474">
        <f t="shared" si="5"/>
        <v>0</v>
      </c>
      <c r="S34" s="474">
        <f t="shared" si="6"/>
        <v>0</v>
      </c>
      <c r="T34" s="474">
        <f t="shared" si="7"/>
        <v>0</v>
      </c>
      <c r="U34" s="471">
        <f t="shared" si="8"/>
        <v>0</v>
      </c>
      <c r="V34" s="471">
        <f>IF(D34="F",L34,0)</f>
        <v>0</v>
      </c>
      <c r="W34" s="471">
        <f t="shared" si="9"/>
        <v>0</v>
      </c>
      <c r="X34" s="471">
        <f t="shared" si="10"/>
        <v>0</v>
      </c>
      <c r="Y34" s="469"/>
      <c r="Z34" s="470"/>
      <c r="AA34" s="470"/>
      <c r="AB34" s="475">
        <f t="shared" si="16"/>
        <v>0</v>
      </c>
      <c r="AC34" s="475">
        <f t="shared" si="17"/>
        <v>0</v>
      </c>
      <c r="AD34" s="475">
        <f t="shared" si="18"/>
        <v>0</v>
      </c>
      <c r="AE34" s="475">
        <f t="shared" si="19"/>
        <v>0</v>
      </c>
      <c r="AF34" s="476">
        <f t="shared" si="20"/>
        <v>0</v>
      </c>
      <c r="AG34" s="475">
        <f t="shared" si="21"/>
        <v>0</v>
      </c>
      <c r="AH34" s="476">
        <f t="shared" si="22"/>
        <v>0</v>
      </c>
      <c r="AI34" s="475">
        <f t="shared" si="23"/>
        <v>0</v>
      </c>
      <c r="AJ34" s="477">
        <f>IF((D34&lt;&gt;""),VLOOKUP(D34,Données!$E$36:$H$59,4,FALSE),)</f>
        <v>0</v>
      </c>
      <c r="AK34" s="477">
        <f t="shared" si="24"/>
        <v>0</v>
      </c>
      <c r="AL34" s="478">
        <f t="shared" si="25"/>
        <v>0</v>
      </c>
      <c r="AM34" s="479">
        <f t="shared" si="26"/>
        <v>0</v>
      </c>
      <c r="AN34" s="480">
        <f t="shared" si="11"/>
        <v>0</v>
      </c>
      <c r="AO34" s="477">
        <f t="shared" si="12"/>
        <v>0</v>
      </c>
      <c r="AP34" s="481">
        <f t="shared" si="27"/>
        <v>0</v>
      </c>
      <c r="AQ34" s="481">
        <f t="shared" si="28"/>
        <v>0</v>
      </c>
      <c r="AR34" s="481">
        <f t="shared" si="29"/>
        <v>0</v>
      </c>
      <c r="AS34" s="481">
        <f t="shared" si="30"/>
        <v>0</v>
      </c>
      <c r="AT34" s="479">
        <f t="shared" si="13"/>
        <v>0</v>
      </c>
      <c r="AU34" s="479">
        <f t="shared" si="14"/>
        <v>0</v>
      </c>
      <c r="AV34" s="471">
        <f>IF(Données!$H$8="x",AW34,AX34)</f>
        <v>6.3333333333333304</v>
      </c>
      <c r="AW34" s="471">
        <f t="shared" si="0"/>
        <v>3.1666666666666652</v>
      </c>
      <c r="AX34" s="471">
        <f>IF(D34="V",AX33,(AX33+"07:36"))</f>
        <v>6.3333333333333304</v>
      </c>
      <c r="AY34" s="467" t="str">
        <f t="shared" si="15"/>
        <v>Lu</v>
      </c>
      <c r="AZ34" s="478">
        <f>IF((S38="O4bis")*AND(S39&lt;&gt;""),VLOOKUP(S39,Échelle!$BG$39:$BH$65,2),)</f>
        <v>0</v>
      </c>
      <c r="BA34" s="479" t="s">
        <v>36</v>
      </c>
      <c r="BB34" s="148"/>
    </row>
    <row r="35" spans="2:54" x14ac:dyDescent="0.2">
      <c r="C35" s="57"/>
      <c r="D35" s="1"/>
      <c r="E35" s="1"/>
      <c r="F35" s="58"/>
      <c r="G35" s="32"/>
      <c r="H35" s="1"/>
      <c r="I35" s="1"/>
      <c r="J35" s="1"/>
      <c r="K35" s="1"/>
      <c r="L35" s="1"/>
      <c r="M35" s="1"/>
      <c r="N35" s="1"/>
      <c r="O35" s="1"/>
      <c r="P35" s="1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475"/>
      <c r="AC35" s="475"/>
      <c r="AD35" s="475"/>
      <c r="AE35" s="475"/>
      <c r="AF35" s="476"/>
      <c r="AG35" s="475"/>
      <c r="AH35" s="476"/>
      <c r="AI35" s="475"/>
      <c r="AJ35" s="477"/>
      <c r="AK35" s="477"/>
      <c r="AL35" s="478"/>
      <c r="AM35" s="479"/>
      <c r="AN35" s="480"/>
      <c r="AO35" s="477"/>
      <c r="AP35" s="481"/>
      <c r="AQ35" s="481"/>
      <c r="AR35" s="481"/>
      <c r="AS35" s="481"/>
      <c r="AT35" s="479"/>
      <c r="AU35" s="479"/>
      <c r="AV35" s="471"/>
      <c r="AW35" s="471"/>
      <c r="AX35" s="471"/>
      <c r="AY35" s="467"/>
      <c r="AZ35" s="478">
        <f>IF((S39="O4bis")*AND(S40&lt;&gt;""),VLOOKUP(S40,Échelle!$BG$39:$BH$65,2),)</f>
        <v>0</v>
      </c>
      <c r="BA35" s="479" t="s">
        <v>36</v>
      </c>
      <c r="BB35" s="148"/>
    </row>
    <row r="36" spans="2:54" x14ac:dyDescent="0.2">
      <c r="C36" s="57"/>
      <c r="D36" s="1"/>
      <c r="E36" s="1"/>
      <c r="F36" s="58"/>
      <c r="G36" s="32"/>
      <c r="H36" s="1"/>
      <c r="I36" s="1"/>
      <c r="J36" s="1"/>
      <c r="K36" s="1"/>
      <c r="L36" s="1"/>
      <c r="M36" s="1"/>
      <c r="N36" s="1"/>
      <c r="O36" s="1"/>
      <c r="P36" s="1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200">
        <f t="shared" ref="AB36:AI36" si="34">SUM(AB7:AB34)</f>
        <v>0</v>
      </c>
      <c r="AC36" s="200">
        <f t="shared" si="34"/>
        <v>0</v>
      </c>
      <c r="AD36" s="200">
        <f t="shared" si="34"/>
        <v>0</v>
      </c>
      <c r="AE36" s="200">
        <f t="shared" si="34"/>
        <v>0</v>
      </c>
      <c r="AF36" s="200">
        <f t="shared" si="34"/>
        <v>0</v>
      </c>
      <c r="AG36" s="200">
        <f t="shared" si="34"/>
        <v>0</v>
      </c>
      <c r="AH36" s="200">
        <f t="shared" si="34"/>
        <v>0</v>
      </c>
      <c r="AI36" s="200">
        <f t="shared" si="34"/>
        <v>0</v>
      </c>
      <c r="AK36" s="200">
        <f>SUM(AK7:AK35)</f>
        <v>0</v>
      </c>
      <c r="AM36" s="4">
        <f>SUM(AM7:AM34)+AT36</f>
        <v>0</v>
      </c>
      <c r="AN36" s="39"/>
      <c r="AO36" s="200"/>
      <c r="AP36" s="4">
        <f>SUM(AP7:AP34)</f>
        <v>0</v>
      </c>
      <c r="AQ36" s="4">
        <f>SUM(AQ7:AQ34)</f>
        <v>0</v>
      </c>
      <c r="AR36" s="4">
        <f>SUM(AR7:AR34)</f>
        <v>0</v>
      </c>
      <c r="AS36" s="4">
        <f>SUM(AS7:AS34)</f>
        <v>0</v>
      </c>
      <c r="AT36" s="4">
        <f>SUM(AT7:AT34)</f>
        <v>0</v>
      </c>
      <c r="AU36" s="4">
        <f>SUM(AU7:AU34)+AT36</f>
        <v>0</v>
      </c>
      <c r="AV36" s="234"/>
      <c r="AW36" s="234"/>
      <c r="AZ36" s="7">
        <f>IF((S38="O4ir")*AND(S39&lt;&gt;""),VLOOKUP(S39,Échelle!$AX$39:$AY$65,2),)</f>
        <v>0</v>
      </c>
      <c r="BA36" s="4" t="s">
        <v>33</v>
      </c>
      <c r="BB36" s="4"/>
    </row>
    <row r="37" spans="2:54" x14ac:dyDescent="0.2">
      <c r="C37" s="35" t="s">
        <v>99</v>
      </c>
      <c r="D37" s="61"/>
      <c r="E37" s="61"/>
      <c r="F37" s="35"/>
      <c r="G37" s="35"/>
      <c r="H37" s="35"/>
      <c r="I37" s="1"/>
      <c r="W37" s="361" t="s">
        <v>215</v>
      </c>
      <c r="X37" s="362"/>
      <c r="Z37" s="211" t="s">
        <v>216</v>
      </c>
      <c r="AA37" s="387" t="s">
        <v>217</v>
      </c>
      <c r="AB37" s="200">
        <f t="shared" ref="AB37:AI37" si="35">IF((MINUTE(AB36)&gt;=30),(AB36+0.041666667),AB36)</f>
        <v>0</v>
      </c>
      <c r="AC37" s="200">
        <f t="shared" si="35"/>
        <v>0</v>
      </c>
      <c r="AD37" s="200">
        <f t="shared" si="35"/>
        <v>0</v>
      </c>
      <c r="AE37" s="200">
        <f t="shared" si="35"/>
        <v>0</v>
      </c>
      <c r="AF37" s="200">
        <f t="shared" si="35"/>
        <v>0</v>
      </c>
      <c r="AG37" s="200">
        <f t="shared" si="35"/>
        <v>0</v>
      </c>
      <c r="AH37" s="200">
        <f t="shared" si="35"/>
        <v>0</v>
      </c>
      <c r="AI37" s="200">
        <f t="shared" si="35"/>
        <v>0</v>
      </c>
      <c r="AK37" s="200">
        <f>IF((MINUTE(AK36)&gt;=30),(AK36+0.041666667),AK36)</f>
        <v>0</v>
      </c>
      <c r="AM37" s="97">
        <f>AM36*(6.7*AA38)</f>
        <v>0</v>
      </c>
      <c r="AN37" s="39">
        <f>SUM(AN5:AN34)</f>
        <v>0</v>
      </c>
      <c r="AO37" s="200"/>
      <c r="AP37" s="4"/>
      <c r="AQ37" s="4"/>
      <c r="AR37" s="4"/>
      <c r="AS37" s="4"/>
      <c r="AT37" s="4"/>
      <c r="AU37" s="4"/>
      <c r="AV37" s="234"/>
      <c r="AW37" s="234"/>
      <c r="AZ37" s="7">
        <f>IF((S38="O5")*AND(S39&lt;&gt;""),VLOOKUP(S39,Échelle!$AC$39:$AD$65,2),)</f>
        <v>0</v>
      </c>
      <c r="BA37" s="4" t="s">
        <v>26</v>
      </c>
      <c r="BB37" s="4"/>
    </row>
    <row r="38" spans="2:54" x14ac:dyDescent="0.2">
      <c r="C38" s="62" t="s">
        <v>218</v>
      </c>
      <c r="D38" s="63"/>
      <c r="E38" s="63"/>
      <c r="F38" s="65"/>
      <c r="G38" s="64"/>
      <c r="H38" s="41">
        <f>Jan!$H$45</f>
        <v>33</v>
      </c>
      <c r="I38" s="59"/>
      <c r="J38" s="12" t="s">
        <v>304</v>
      </c>
      <c r="K38" s="13"/>
      <c r="L38" s="14"/>
      <c r="M38" s="13"/>
      <c r="N38" s="13"/>
      <c r="O38" s="13"/>
      <c r="P38" s="14"/>
      <c r="Q38" s="14"/>
      <c r="R38" s="24"/>
      <c r="S38" s="161" t="s">
        <v>6</v>
      </c>
      <c r="T38" s="359" t="s">
        <v>220</v>
      </c>
      <c r="U38" s="360"/>
      <c r="V38" s="360"/>
      <c r="W38" s="268">
        <v>1</v>
      </c>
      <c r="X38" s="267" t="s">
        <v>221</v>
      </c>
      <c r="Z38" s="214">
        <v>1.7758</v>
      </c>
      <c r="AA38" s="388">
        <f>Z38</f>
        <v>1.7758</v>
      </c>
      <c r="AB38" s="200">
        <f t="shared" ref="AB38:AI38" si="36">IF(MINUTE(AB37)&gt;0,FLOOR(AB37,0.041666667),AB37)</f>
        <v>0</v>
      </c>
      <c r="AC38" s="200">
        <f t="shared" si="36"/>
        <v>0</v>
      </c>
      <c r="AD38" s="200">
        <f t="shared" si="36"/>
        <v>0</v>
      </c>
      <c r="AE38" s="200">
        <f t="shared" si="36"/>
        <v>0</v>
      </c>
      <c r="AF38" s="200">
        <f t="shared" si="36"/>
        <v>0</v>
      </c>
      <c r="AG38" s="200">
        <f t="shared" si="36"/>
        <v>0</v>
      </c>
      <c r="AH38" s="200">
        <f t="shared" si="36"/>
        <v>0</v>
      </c>
      <c r="AI38" s="200">
        <f t="shared" si="36"/>
        <v>0</v>
      </c>
      <c r="AK38" s="222">
        <f>IF(MINUTE(AK37)&gt;0,FLOOR(AK37,0.041666667),AK37)</f>
        <v>0</v>
      </c>
      <c r="AL38" s="4"/>
      <c r="AM38" s="4"/>
      <c r="AO38" s="200"/>
      <c r="AP38" s="4"/>
      <c r="AQ38" s="4"/>
      <c r="AR38" s="4"/>
      <c r="AS38" s="4"/>
      <c r="AU38" s="4"/>
      <c r="AW38" s="28"/>
      <c r="AZ38" s="7">
        <f>IF((S38="O5ir")*AND(S39&lt;&gt;""),VLOOKUP(S39,Échelle!$BA$39:$BB$65,2),)</f>
        <v>0</v>
      </c>
      <c r="BA38" s="4" t="s">
        <v>34</v>
      </c>
      <c r="BB38" s="4"/>
    </row>
    <row r="39" spans="2:54" ht="13.5" thickBot="1" x14ac:dyDescent="0.25">
      <c r="C39" s="62" t="s">
        <v>222</v>
      </c>
      <c r="D39" s="63"/>
      <c r="E39" s="63"/>
      <c r="F39" s="65"/>
      <c r="G39" s="64"/>
      <c r="H39" s="118">
        <v>0</v>
      </c>
      <c r="J39" s="15" t="s">
        <v>305</v>
      </c>
      <c r="K39" s="16"/>
      <c r="L39" s="17"/>
      <c r="M39" s="16"/>
      <c r="N39" s="16"/>
      <c r="O39" s="16"/>
      <c r="P39" s="17"/>
      <c r="Q39" s="17"/>
      <c r="R39" s="25"/>
      <c r="S39" s="162">
        <v>20</v>
      </c>
      <c r="T39" s="363">
        <f>AZ44</f>
        <v>24661</v>
      </c>
      <c r="U39" s="364"/>
      <c r="V39" s="365"/>
      <c r="W39" s="317">
        <v>21822</v>
      </c>
      <c r="X39" s="317">
        <v>21498.68</v>
      </c>
      <c r="Z39" s="47"/>
      <c r="AA39" s="47"/>
      <c r="AG39" s="123"/>
      <c r="AH39" s="13" t="s">
        <v>229</v>
      </c>
      <c r="AI39" s="13"/>
      <c r="AJ39" s="124"/>
      <c r="AK39" s="114" t="s">
        <v>231</v>
      </c>
      <c r="AL39" s="13"/>
      <c r="AM39" s="124"/>
      <c r="AP39" s="4"/>
      <c r="AQ39" s="4"/>
      <c r="AR39" s="4"/>
      <c r="AS39" s="4"/>
      <c r="AT39" s="4"/>
      <c r="AU39" s="4"/>
      <c r="AW39" s="28"/>
      <c r="AZ39" s="7">
        <f>IF((S38="O6")*AND(S39&lt;&gt;""),VLOOKUP(S39,Échelle!$AF$39:$AG$65,2),)</f>
        <v>0</v>
      </c>
      <c r="BA39" s="4" t="s">
        <v>27</v>
      </c>
      <c r="BB39" s="4"/>
    </row>
    <row r="40" spans="2:54" ht="13.5" thickTop="1" x14ac:dyDescent="0.2">
      <c r="C40" s="62" t="s">
        <v>224</v>
      </c>
      <c r="D40" s="228"/>
      <c r="E40" s="228"/>
      <c r="F40" s="144"/>
      <c r="G40" s="144"/>
      <c r="H40" s="115">
        <f>AN37</f>
        <v>0</v>
      </c>
      <c r="I40" s="45"/>
      <c r="J40" s="18" t="s">
        <v>225</v>
      </c>
      <c r="K40" s="4"/>
      <c r="L40" s="98"/>
      <c r="M40" s="223">
        <f>AK38</f>
        <v>0</v>
      </c>
      <c r="N40" s="35" t="s">
        <v>226</v>
      </c>
      <c r="O40" s="75"/>
      <c r="P40" s="47"/>
      <c r="Q40" s="98"/>
      <c r="R40" s="47"/>
      <c r="S40" s="114"/>
      <c r="T40" s="116"/>
      <c r="U40" s="157">
        <f>IF(X3="x",(M40*AK41/0.041666667),0)</f>
        <v>0</v>
      </c>
      <c r="V40" s="24" t="s">
        <v>227</v>
      </c>
      <c r="W40" s="160">
        <f>IF(Z3="x",(M40*AH41/0.041666667),0)</f>
        <v>0</v>
      </c>
      <c r="X40" s="24" t="s">
        <v>227</v>
      </c>
      <c r="Z40" s="216" t="s">
        <v>228</v>
      </c>
      <c r="AA40" s="217"/>
      <c r="AG40" s="281"/>
      <c r="AH40" s="21">
        <f>X39*1.2434/1850</f>
        <v>14.449437141621623</v>
      </c>
      <c r="AI40" s="21"/>
      <c r="AJ40" s="48"/>
      <c r="AK40" s="282">
        <f>(T39*AA38)/1850</f>
        <v>23.671893945945946</v>
      </c>
      <c r="AL40" s="21" t="s">
        <v>230</v>
      </c>
      <c r="AM40" s="48"/>
      <c r="AP40" s="4"/>
      <c r="AQ40" s="4"/>
      <c r="AR40" s="4"/>
      <c r="AS40" s="4"/>
      <c r="AT40" s="4"/>
      <c r="AU40" s="4"/>
      <c r="AZ40" s="7">
        <f>IF((S38="O6ir")*AND(S39&lt;&gt;""),VLOOKUP(S39,Échelle!$BD$39:$BE$65,2),)</f>
        <v>0</v>
      </c>
      <c r="BA40" s="4" t="s">
        <v>35</v>
      </c>
      <c r="BB40" s="4"/>
    </row>
    <row r="41" spans="2:54" x14ac:dyDescent="0.2">
      <c r="C41" s="62" t="s">
        <v>232</v>
      </c>
      <c r="D41" s="63"/>
      <c r="E41" s="63"/>
      <c r="F41" s="65"/>
      <c r="G41" s="303" t="s">
        <v>233</v>
      </c>
      <c r="H41" s="41">
        <f>AB41+(AB42/2)+(AB43/2)</f>
        <v>0</v>
      </c>
      <c r="J41" s="18" t="s">
        <v>234</v>
      </c>
      <c r="K41" s="4"/>
      <c r="L41" s="47"/>
      <c r="M41" s="224">
        <f>IF(Z3="x",AD38,)</f>
        <v>0</v>
      </c>
      <c r="N41" s="35" t="s">
        <v>226</v>
      </c>
      <c r="O41" s="75"/>
      <c r="P41" s="47"/>
      <c r="Q41" s="47"/>
      <c r="R41" s="47"/>
      <c r="S41" s="18"/>
      <c r="T41" s="103"/>
      <c r="U41" s="158"/>
      <c r="V41" s="26"/>
      <c r="W41" s="160">
        <f>IF(Z3="x",(M41*AH49/0.041666667),0)</f>
        <v>0</v>
      </c>
      <c r="X41" s="26" t="s">
        <v>227</v>
      </c>
      <c r="Z41" s="218" t="s">
        <v>235</v>
      </c>
      <c r="AA41" s="219"/>
      <c r="AB41" s="4">
        <f>COUNTIF(AL7:AL34,"1")</f>
        <v>0</v>
      </c>
      <c r="AG41" s="282" t="s">
        <v>155</v>
      </c>
      <c r="AH41" s="21">
        <f>AH40*0.9645*AK48/100*1.45</f>
        <v>9.8048726328815921</v>
      </c>
      <c r="AI41" s="21"/>
      <c r="AJ41" s="48"/>
      <c r="AK41" s="282">
        <f>(AK40*0.9645)*AK48/100</f>
        <v>11.077864038111635</v>
      </c>
      <c r="AL41" s="21" t="s">
        <v>236</v>
      </c>
      <c r="AM41" s="48"/>
      <c r="AP41" s="4"/>
      <c r="AQ41" s="4"/>
      <c r="AR41" s="4"/>
      <c r="AS41" s="4"/>
      <c r="AT41" s="4"/>
      <c r="AU41" s="4"/>
      <c r="AZ41" s="7">
        <f>IF((S38="O7")*AND(S39&lt;&gt;""),VLOOKUP(S39,Échelle!$AI$39:$AJ$65,2),)</f>
        <v>0</v>
      </c>
      <c r="BA41" s="4" t="s">
        <v>28</v>
      </c>
      <c r="BB41" s="2"/>
    </row>
    <row r="42" spans="2:54" x14ac:dyDescent="0.2">
      <c r="C42" s="304"/>
      <c r="D42" s="66"/>
      <c r="E42" s="66"/>
      <c r="F42" s="67"/>
      <c r="G42" s="68"/>
      <c r="H42" s="73"/>
      <c r="J42" s="18" t="s">
        <v>238</v>
      </c>
      <c r="K42" s="46"/>
      <c r="L42" s="46"/>
      <c r="M42" s="224">
        <f>IF(X3="x",AF38,)</f>
        <v>0</v>
      </c>
      <c r="N42" s="35" t="s">
        <v>226</v>
      </c>
      <c r="O42" s="21"/>
      <c r="P42" s="21"/>
      <c r="Q42" s="21"/>
      <c r="R42" s="21"/>
      <c r="S42" s="18"/>
      <c r="T42" s="103"/>
      <c r="U42" s="158">
        <f>IF(X3="x",((M42*AK49)/0.041666667),0)</f>
        <v>0</v>
      </c>
      <c r="V42" s="26" t="s">
        <v>227</v>
      </c>
      <c r="W42" s="160"/>
      <c r="X42" s="26"/>
      <c r="Z42" s="221">
        <f>AK47</f>
        <v>51.48</v>
      </c>
      <c r="AA42" s="244"/>
      <c r="AB42" s="4">
        <f>COUNTIF(AL7:AL34,"2")</f>
        <v>0</v>
      </c>
      <c r="AE42" s="4">
        <f>M44*78</f>
        <v>0</v>
      </c>
      <c r="AG42" s="19" t="s">
        <v>239</v>
      </c>
      <c r="AH42" s="197">
        <f>(W39*1.2434/1850)*0.009645*AK48</f>
        <v>6.8636749853621204</v>
      </c>
      <c r="AI42" s="197"/>
      <c r="AJ42" s="55"/>
      <c r="AK42" s="19"/>
      <c r="AL42" s="20"/>
      <c r="AM42" s="55"/>
      <c r="AP42" s="4"/>
      <c r="AQ42" s="4"/>
      <c r="AR42" s="4"/>
      <c r="AS42" s="4"/>
      <c r="AT42" s="4"/>
      <c r="AU42" s="4"/>
      <c r="AZ42" s="7">
        <f>IF((S38="O8")*AND(S39&lt;&gt;""),VLOOKUP(S39,Échelle!$AL$39:$AM$68,2),)</f>
        <v>0</v>
      </c>
      <c r="BA42" s="4" t="s">
        <v>29</v>
      </c>
      <c r="BB42" s="2"/>
    </row>
    <row r="43" spans="2:54" x14ac:dyDescent="0.2">
      <c r="C43" s="69" t="s">
        <v>241</v>
      </c>
      <c r="D43" s="70"/>
      <c r="E43" s="70"/>
      <c r="F43" s="71"/>
      <c r="G43" s="72"/>
      <c r="H43" s="74">
        <f>H38-H41+H39+H40</f>
        <v>33</v>
      </c>
      <c r="J43" s="18" t="s">
        <v>242</v>
      </c>
      <c r="K43" s="46"/>
      <c r="L43" s="46"/>
      <c r="M43" s="224">
        <f>IF(X3="x",AG38,)</f>
        <v>0</v>
      </c>
      <c r="N43" s="35" t="s">
        <v>226</v>
      </c>
      <c r="O43" s="21"/>
      <c r="P43" s="21"/>
      <c r="Q43" s="21"/>
      <c r="R43" s="21"/>
      <c r="S43" s="18"/>
      <c r="T43" s="103"/>
      <c r="U43" s="158">
        <f>IF(X3="x",(M43*AK50/0.041666667),0)</f>
        <v>0</v>
      </c>
      <c r="V43" s="26" t="s">
        <v>227</v>
      </c>
      <c r="W43" s="160"/>
      <c r="X43" s="26"/>
      <c r="Y43" s="47"/>
      <c r="Z43" s="47"/>
      <c r="AA43" s="47"/>
      <c r="AB43" s="4">
        <f>COUNTIF(AL7:AL34,"7")</f>
        <v>0</v>
      </c>
      <c r="AE43" s="4">
        <f>M45*23</f>
        <v>0</v>
      </c>
      <c r="AG43" s="4"/>
      <c r="AH43" s="4"/>
      <c r="AI43" s="4"/>
      <c r="AK43" s="4">
        <v>1.24</v>
      </c>
      <c r="AL43" s="4" t="s">
        <v>240</v>
      </c>
      <c r="AZ43" s="7">
        <f>IF((S38=Échelle!CB3)*AND(S39&lt;&gt;""),VLOOKUP(S39,Échelle!$CB$5:$CC$38,2),)</f>
        <v>0</v>
      </c>
      <c r="BA43" s="4" t="s">
        <v>237</v>
      </c>
      <c r="BB43" s="2"/>
    </row>
    <row r="44" spans="2:54" x14ac:dyDescent="0.2">
      <c r="J44" s="18" t="s">
        <v>243</v>
      </c>
      <c r="K44" s="4"/>
      <c r="L44" s="47"/>
      <c r="M44" s="100">
        <f>COUNTIF(Q7:Q34,"1")</f>
        <v>0</v>
      </c>
      <c r="N44" s="18" t="s">
        <v>244</v>
      </c>
      <c r="O44" s="4"/>
      <c r="P44" s="47"/>
      <c r="Q44" s="47"/>
      <c r="R44" s="47">
        <f>COUNTIF(Q7:Q34,"2")</f>
        <v>0</v>
      </c>
      <c r="S44" s="18"/>
      <c r="T44" s="103"/>
      <c r="U44" s="158">
        <f>IF(X3="x",(M44*AK44*AA38+(R44*AA38*6.2)),0)</f>
        <v>0</v>
      </c>
      <c r="V44" s="26" t="s">
        <v>227</v>
      </c>
      <c r="W44" s="158">
        <f>IF(Z3="x",(M44*AK44*AA38+(R44*AA38*6.2)),0)</f>
        <v>0</v>
      </c>
      <c r="X44" s="26" t="s">
        <v>227</v>
      </c>
      <c r="Y44" s="47"/>
      <c r="Z44" s="47"/>
      <c r="AA44" s="47"/>
      <c r="AB44" s="4" t="s">
        <v>245</v>
      </c>
      <c r="AC44" s="4"/>
      <c r="AD44" s="4"/>
      <c r="AG44" s="4"/>
      <c r="AH44" s="4"/>
      <c r="AI44" s="4"/>
      <c r="AK44" s="4">
        <v>2.48</v>
      </c>
      <c r="AL44" s="4" t="s">
        <v>169</v>
      </c>
      <c r="AZ44" s="4">
        <f>SUM(AZ7:AZ43)</f>
        <v>24661</v>
      </c>
      <c r="BB44" s="2"/>
    </row>
    <row r="45" spans="2:54" x14ac:dyDescent="0.2">
      <c r="C45" s="35" t="s">
        <v>306</v>
      </c>
      <c r="F45" s="4"/>
      <c r="G45" s="109" t="s">
        <v>307</v>
      </c>
      <c r="H45" s="109" t="s">
        <v>308</v>
      </c>
      <c r="J45" s="18" t="s">
        <v>249</v>
      </c>
      <c r="K45" s="21"/>
      <c r="L45" s="47"/>
      <c r="M45" s="100">
        <f>COUNTIF(R7:R34,"1")</f>
        <v>0</v>
      </c>
      <c r="N45" s="18" t="s">
        <v>250</v>
      </c>
      <c r="O45" s="21"/>
      <c r="P45" s="47"/>
      <c r="Q45" s="47"/>
      <c r="R45" s="47">
        <f>COUNTIF(R7:R34,"2")</f>
        <v>0</v>
      </c>
      <c r="S45" s="18"/>
      <c r="T45" s="103"/>
      <c r="U45" s="158">
        <f>IF(X3="x",(M45*AK45*AA38+(R45*AA38*6.2)),0)</f>
        <v>0</v>
      </c>
      <c r="V45" s="26" t="s">
        <v>227</v>
      </c>
      <c r="W45" s="158">
        <f>IF(Z3="x",(M45*AK45*AA38+(R45*AA38*6.2)),0)</f>
        <v>0</v>
      </c>
      <c r="X45" s="26" t="s">
        <v>227</v>
      </c>
      <c r="Y45" s="47"/>
      <c r="Z45" s="47"/>
      <c r="AA45" s="47"/>
      <c r="AB45" s="7">
        <f>IF((M34-N34-U4)&gt;0,(M34-N34-U4-G53),)</f>
        <v>0</v>
      </c>
      <c r="AC45" s="7">
        <f>IF((MINUTE(AB45)&gt;=30),(0.041666667),)</f>
        <v>0</v>
      </c>
      <c r="AD45" s="7">
        <f>AB45+AC45</f>
        <v>0</v>
      </c>
      <c r="AE45" s="4"/>
      <c r="AG45" s="4"/>
      <c r="AH45" s="4"/>
      <c r="AI45" s="4"/>
      <c r="AK45" s="4">
        <v>2.48</v>
      </c>
      <c r="AL45" s="4" t="s">
        <v>170</v>
      </c>
      <c r="BB45" s="2"/>
    </row>
    <row r="46" spans="2:54" x14ac:dyDescent="0.2">
      <c r="C46" s="35" t="s">
        <v>252</v>
      </c>
      <c r="G46" s="127" t="s">
        <v>710</v>
      </c>
      <c r="H46" s="450"/>
      <c r="J46" s="18" t="s">
        <v>253</v>
      </c>
      <c r="K46" s="46"/>
      <c r="L46" s="149"/>
      <c r="M46" s="100">
        <f>COUNTIF(S7:S34,"1")</f>
        <v>0</v>
      </c>
      <c r="N46" s="18" t="s">
        <v>254</v>
      </c>
      <c r="O46" s="4"/>
      <c r="P46" s="4"/>
      <c r="Q46" s="21"/>
      <c r="R46" s="26">
        <f>COUNTIF(S7:S34,"2")</f>
        <v>0</v>
      </c>
      <c r="S46" s="4"/>
      <c r="T46" s="117"/>
      <c r="U46" s="158">
        <f>IF(X3="x",(M46*AK46*AA38+(R46*AA38*3.48)),0)</f>
        <v>0</v>
      </c>
      <c r="V46" s="26" t="s">
        <v>227</v>
      </c>
      <c r="W46" s="158">
        <f>IF(Z3="x",(M46*AK46*AA38+(R46*AA38*3.48)),0)</f>
        <v>0</v>
      </c>
      <c r="X46" s="26" t="s">
        <v>227</v>
      </c>
      <c r="AB46" s="7"/>
      <c r="AC46" s="7"/>
      <c r="AD46" s="7"/>
      <c r="AE46" s="7">
        <f>AD45</f>
        <v>0</v>
      </c>
      <c r="AG46" s="4"/>
      <c r="AH46" s="4"/>
      <c r="AI46" s="4"/>
      <c r="AK46" s="4">
        <v>1.74</v>
      </c>
      <c r="AL46" s="4" t="s">
        <v>251</v>
      </c>
      <c r="BB46" s="2"/>
    </row>
    <row r="47" spans="2:54" x14ac:dyDescent="0.2">
      <c r="J47" s="18" t="s">
        <v>256</v>
      </c>
      <c r="K47" s="46"/>
      <c r="L47" s="149"/>
      <c r="M47" s="100">
        <f>COUNTIF(T7:T34,"1")</f>
        <v>0</v>
      </c>
      <c r="N47" s="18" t="s">
        <v>257</v>
      </c>
      <c r="O47" s="4"/>
      <c r="P47" s="4"/>
      <c r="Q47" s="21"/>
      <c r="R47" s="26">
        <f>COUNTIF(T7:T34,"2")</f>
        <v>0</v>
      </c>
      <c r="S47" s="4"/>
      <c r="T47" s="117"/>
      <c r="U47" s="158">
        <f>IF(X3="x",(M47*AK43*AA38+(R47*AA38*2.48)),0)</f>
        <v>0</v>
      </c>
      <c r="V47" s="26" t="s">
        <v>227</v>
      </c>
      <c r="W47" s="158">
        <f>IF(Z3="x",(M47*AK43*AA38+(R47*AA38*2.48)),0)</f>
        <v>0</v>
      </c>
      <c r="X47" s="26" t="s">
        <v>227</v>
      </c>
      <c r="AB47" s="60">
        <f>HOUR(AD45)*0.041666667</f>
        <v>0</v>
      </c>
      <c r="AD47" s="7"/>
      <c r="AE47" s="7">
        <f>HOUR(AE46)</f>
        <v>0</v>
      </c>
      <c r="AG47" s="4"/>
      <c r="AH47" s="4"/>
      <c r="AI47" s="4"/>
      <c r="AK47" s="4">
        <f>VLOOKUP(AS47,Données!$F$74:$H$85,3)</f>
        <v>51.48</v>
      </c>
      <c r="AL47" s="4" t="s">
        <v>255</v>
      </c>
      <c r="AP47" s="385">
        <f>T39*Z38</f>
        <v>43793.003799999999</v>
      </c>
      <c r="AQ47" s="2">
        <f>AP47*0.075</f>
        <v>3284.475285</v>
      </c>
      <c r="AR47" s="2">
        <f>AP47*0.0355</f>
        <v>1554.6516348999999</v>
      </c>
      <c r="AS47" s="225">
        <f>AP47-AQ47-AR47</f>
        <v>38953.876880099997</v>
      </c>
      <c r="BB47" s="2"/>
    </row>
    <row r="48" spans="2:54" x14ac:dyDescent="0.2">
      <c r="C48" s="4" t="s">
        <v>259</v>
      </c>
      <c r="F48" s="4"/>
      <c r="G48" s="4"/>
      <c r="J48" s="18" t="s">
        <v>260</v>
      </c>
      <c r="K48" s="4"/>
      <c r="L48" s="21"/>
      <c r="M48" s="224">
        <f>IF(AND(G46="x",O34="+",AB45&gt;=0),AB49,0)</f>
        <v>0</v>
      </c>
      <c r="N48" s="35" t="s">
        <v>226</v>
      </c>
      <c r="O48" s="75"/>
      <c r="P48" s="47"/>
      <c r="Q48" s="47"/>
      <c r="R48" s="47"/>
      <c r="S48" s="18"/>
      <c r="T48" s="103"/>
      <c r="U48" s="158">
        <f>IF(X3="x",(M48*AK41/0.041666667),0)</f>
        <v>0</v>
      </c>
      <c r="V48" s="26" t="s">
        <v>227</v>
      </c>
      <c r="W48" s="160">
        <f>IF(Z3="x",(M48*AH42/0.041666667),0)</f>
        <v>0</v>
      </c>
      <c r="X48" s="26" t="s">
        <v>227</v>
      </c>
      <c r="AB48" s="7">
        <f>AD45-AB47</f>
        <v>0</v>
      </c>
      <c r="AD48" s="96"/>
      <c r="AG48" s="4"/>
      <c r="AH48" s="4"/>
      <c r="AI48" s="4"/>
      <c r="AK48" s="4">
        <f>100-AK47</f>
        <v>48.52</v>
      </c>
      <c r="AL48" s="4" t="s">
        <v>258</v>
      </c>
      <c r="BB48" s="2"/>
    </row>
    <row r="49" spans="3:54" x14ac:dyDescent="0.2">
      <c r="C49" s="4" t="s">
        <v>261</v>
      </c>
      <c r="F49" s="4"/>
      <c r="G49" s="215">
        <v>0</v>
      </c>
      <c r="J49" s="18" t="s">
        <v>262</v>
      </c>
      <c r="K49" s="21"/>
      <c r="L49" s="21"/>
      <c r="M49" s="284">
        <f>AM36</f>
        <v>0</v>
      </c>
      <c r="N49" s="188" t="s">
        <v>263</v>
      </c>
      <c r="O49" s="153"/>
      <c r="P49" s="47"/>
      <c r="Q49" s="47"/>
      <c r="R49" s="47"/>
      <c r="S49" s="18"/>
      <c r="T49" s="153"/>
      <c r="U49" s="158">
        <f>IF(X3="x",AM37,0)</f>
        <v>0</v>
      </c>
      <c r="V49" s="26" t="s">
        <v>227</v>
      </c>
      <c r="W49" s="160">
        <f>IF(Z3="x",AM37,0)</f>
        <v>0</v>
      </c>
      <c r="X49" s="26" t="s">
        <v>227</v>
      </c>
      <c r="AB49" s="7">
        <f>IF(MINUTE(AB45)&gt;0,FLOOR(AE46,0.041666667),AE46)</f>
        <v>0</v>
      </c>
      <c r="AC49" s="96"/>
      <c r="AD49" s="96"/>
      <c r="AG49" s="4" t="s">
        <v>161</v>
      </c>
      <c r="AH49" s="4">
        <f>AH40*0.00325*0.9645*AK48</f>
        <v>2.1976438659907016</v>
      </c>
      <c r="AI49" s="4"/>
      <c r="AK49" s="97">
        <f>AK41/100*20</f>
        <v>2.2155728076223271</v>
      </c>
      <c r="AL49" s="4" t="s">
        <v>264</v>
      </c>
      <c r="BB49" s="2"/>
    </row>
    <row r="50" spans="3:54" x14ac:dyDescent="0.2">
      <c r="C50" s="245" t="s">
        <v>265</v>
      </c>
      <c r="J50" s="18" t="s">
        <v>266</v>
      </c>
      <c r="K50" s="47"/>
      <c r="L50" s="21"/>
      <c r="M50" s="312">
        <f>SUM(AA7:AA34)</f>
        <v>0</v>
      </c>
      <c r="N50" s="188" t="s">
        <v>267</v>
      </c>
      <c r="O50" s="21"/>
      <c r="P50" s="21"/>
      <c r="Q50" s="21"/>
      <c r="R50" s="21"/>
      <c r="S50" s="18"/>
      <c r="T50" s="187"/>
      <c r="U50" s="158">
        <f>IF(X3="x",(M50*Données!$T$13),0)</f>
        <v>0</v>
      </c>
      <c r="V50" s="26" t="s">
        <v>227</v>
      </c>
      <c r="W50" s="160">
        <f>IF(Z3="x",M50*0.2,0)</f>
        <v>0</v>
      </c>
      <c r="X50" s="26" t="s">
        <v>227</v>
      </c>
      <c r="AK50" s="97">
        <f>AK41/100*35</f>
        <v>3.8772524133390722</v>
      </c>
      <c r="AL50" s="4" t="s">
        <v>268</v>
      </c>
      <c r="BB50" s="2"/>
    </row>
    <row r="51" spans="3:54" x14ac:dyDescent="0.2">
      <c r="J51" s="18" t="s">
        <v>269</v>
      </c>
      <c r="K51" s="21"/>
      <c r="L51" s="21"/>
      <c r="M51" s="224">
        <f>AH52</f>
        <v>0</v>
      </c>
      <c r="N51" s="35" t="s">
        <v>226</v>
      </c>
      <c r="O51" s="21"/>
      <c r="P51" s="21"/>
      <c r="Q51" s="21"/>
      <c r="R51" s="21"/>
      <c r="S51" s="18"/>
      <c r="T51" s="153"/>
      <c r="U51" s="158">
        <f>IF(X3="x",(M51*AK52/0.041666667),0)</f>
        <v>0</v>
      </c>
      <c r="V51" s="26" t="s">
        <v>227</v>
      </c>
      <c r="W51" s="158">
        <f>IF(Z3="x",(M51*AK52/0.041666667),0)</f>
        <v>0</v>
      </c>
      <c r="X51" s="26" t="s">
        <v>227</v>
      </c>
      <c r="AK51" s="225"/>
      <c r="BB51" s="2"/>
    </row>
    <row r="52" spans="3:54" x14ac:dyDescent="0.2">
      <c r="C52" s="35" t="s">
        <v>270</v>
      </c>
      <c r="J52" s="18" t="s">
        <v>271</v>
      </c>
      <c r="K52" s="21"/>
      <c r="L52" s="21"/>
      <c r="M52" s="224">
        <f>AH53</f>
        <v>0</v>
      </c>
      <c r="N52" s="188" t="s">
        <v>226</v>
      </c>
      <c r="O52" s="21"/>
      <c r="P52" s="21"/>
      <c r="Q52" s="21"/>
      <c r="R52" s="21"/>
      <c r="S52" s="18"/>
      <c r="T52" s="153"/>
      <c r="U52" s="158">
        <f>IF(X3="x",(M52*AK53/0.041666667),0)</f>
        <v>0</v>
      </c>
      <c r="V52" s="26" t="s">
        <v>227</v>
      </c>
      <c r="W52" s="158">
        <f>IF(Z3="x",(M52*AK53/0.041666667),0)</f>
        <v>0</v>
      </c>
      <c r="X52" s="26" t="s">
        <v>227</v>
      </c>
      <c r="AE52" s="285">
        <f>SUM(Y7:Y34)</f>
        <v>0</v>
      </c>
      <c r="AF52" s="313">
        <f>IF(MINUTE(AE52)&gt;=30,AE52+0.041666667,AE52)</f>
        <v>0</v>
      </c>
      <c r="AG52" s="313"/>
      <c r="AH52" s="313">
        <f>IF(MINUTE(AF52)&gt;0,FLOOR(AF52,0.041666667),AF52)</f>
        <v>0</v>
      </c>
      <c r="AI52" s="313"/>
      <c r="AJ52" s="196"/>
      <c r="AK52" s="212">
        <f>AK41/24</f>
        <v>0.46157766825465146</v>
      </c>
      <c r="AL52" s="13" t="s">
        <v>272</v>
      </c>
      <c r="AM52" s="13"/>
      <c r="AN52" s="13"/>
      <c r="AO52" s="13"/>
      <c r="AP52" s="121"/>
      <c r="BB52" s="2"/>
    </row>
    <row r="53" spans="3:54" x14ac:dyDescent="0.2">
      <c r="C53" s="35" t="s">
        <v>261</v>
      </c>
      <c r="G53" s="198">
        <v>0</v>
      </c>
      <c r="J53" s="19" t="s">
        <v>273</v>
      </c>
      <c r="K53" s="20"/>
      <c r="L53" s="20"/>
      <c r="M53" s="318">
        <f>AU36</f>
        <v>0</v>
      </c>
      <c r="N53" s="20"/>
      <c r="O53" s="20"/>
      <c r="P53" s="20"/>
      <c r="Q53" s="20"/>
      <c r="R53" s="20"/>
      <c r="S53" s="19"/>
      <c r="T53" s="20"/>
      <c r="U53" s="159">
        <f>IF(X3="x",(M53*(2.81*AA38))/100*(100-Z42),0)</f>
        <v>0</v>
      </c>
      <c r="V53" s="27" t="s">
        <v>227</v>
      </c>
      <c r="W53" s="159">
        <f>IF(Z3="x",(M53*(2.81*AA38))/100*(100-Z42),0)</f>
        <v>0</v>
      </c>
      <c r="X53" s="27" t="s">
        <v>227</v>
      </c>
      <c r="AE53" s="286">
        <f>SUM(Z7:Z34)</f>
        <v>0</v>
      </c>
      <c r="AF53" s="314">
        <f>IF(MINUTE(AE53)&gt;=30,AE53+0.041666667,AE53)</f>
        <v>0</v>
      </c>
      <c r="AG53" s="314"/>
      <c r="AH53" s="314">
        <f>IF(MINUTE(AF53)&gt;0,FLOOR(AF53,0.041666667),AF53)</f>
        <v>0</v>
      </c>
      <c r="AI53" s="314"/>
      <c r="AJ53" s="197"/>
      <c r="AK53" s="213">
        <f>AK41/15</f>
        <v>0.7385242692074423</v>
      </c>
      <c r="AL53" s="20" t="s">
        <v>274</v>
      </c>
      <c r="AM53" s="20"/>
      <c r="AN53" s="20"/>
      <c r="AO53" s="20"/>
      <c r="AP53" s="119"/>
      <c r="BB53" s="2"/>
    </row>
    <row r="54" spans="3:54" x14ac:dyDescent="0.2">
      <c r="C54" s="245" t="s">
        <v>265</v>
      </c>
      <c r="E54" s="21"/>
      <c r="F54" s="47"/>
      <c r="G54" s="21"/>
      <c r="L54" s="104" t="s">
        <v>275</v>
      </c>
      <c r="M54" s="104"/>
      <c r="N54" s="19"/>
      <c r="O54" s="105"/>
      <c r="P54" s="99"/>
      <c r="Q54" s="99"/>
      <c r="R54" s="99"/>
      <c r="S54" s="19"/>
      <c r="T54" s="106"/>
      <c r="U54" s="159">
        <f>IF(X3="x",(SUM(U40:U53)),0)</f>
        <v>0</v>
      </c>
      <c r="V54" s="27" t="s">
        <v>227</v>
      </c>
      <c r="W54" s="159">
        <f>IF(Z3="x",(SUM(W40:W53)),0)</f>
        <v>0</v>
      </c>
      <c r="X54" s="27" t="s">
        <v>227</v>
      </c>
      <c r="BB54" s="2"/>
    </row>
    <row r="59" spans="3:54" x14ac:dyDescent="0.2">
      <c r="E59" s="32"/>
      <c r="F59" s="58"/>
      <c r="G59" s="32"/>
      <c r="H59" s="32"/>
      <c r="I59" s="32"/>
      <c r="J59" s="32"/>
      <c r="K59" s="32"/>
      <c r="L59" s="135"/>
      <c r="M59" s="191"/>
      <c r="N59" s="32"/>
      <c r="O59" s="30"/>
      <c r="P59" s="30"/>
      <c r="Q59" s="30"/>
      <c r="R59" s="32"/>
      <c r="S59" s="1"/>
      <c r="T59" s="1"/>
      <c r="U59" s="32"/>
      <c r="V59" s="32"/>
      <c r="W59" s="192"/>
      <c r="X59" s="30"/>
    </row>
    <row r="60" spans="3:54" x14ac:dyDescent="0.2">
      <c r="E60" s="32"/>
      <c r="F60" s="58"/>
      <c r="G60" s="32"/>
      <c r="H60" s="32"/>
      <c r="I60" s="32"/>
      <c r="J60" s="32"/>
      <c r="K60" s="32"/>
      <c r="L60" s="135"/>
      <c r="M60" s="191"/>
      <c r="N60" s="32"/>
      <c r="O60" s="30"/>
      <c r="P60" s="30"/>
      <c r="Q60" s="30"/>
      <c r="R60" s="32"/>
      <c r="S60" s="1"/>
      <c r="T60" s="1"/>
      <c r="U60" s="32"/>
      <c r="V60" s="32"/>
      <c r="W60" s="193"/>
      <c r="X60" s="32"/>
    </row>
  </sheetData>
  <sheetProtection algorithmName="SHA-512" hashValue="cU2/9AzE5mwDRa/ZQ66OtJiauqFFq9e2tvA6EgHroLgOoeSJEy9ODMqcXQZrA3ktbV/zJJhs/DfrZ6yEE9Melg==" saltValue="942zJ9kG5dtNcH26FzRweA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2" orientation="landscape" horizontalDpi="300" verticalDpi="300" r:id="rId1"/>
  <headerFooter alignWithMargins="0"/>
  <ignoredErrors>
    <ignoredError sqref="Q7:T34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BB62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4257812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6" width="5.7109375" style="5" customWidth="1"/>
    <col min="27" max="27" width="5.85546875" style="5" bestFit="1" customWidth="1"/>
    <col min="28" max="28" width="13.7109375" style="2" hidden="1" customWidth="1"/>
    <col min="29" max="29" width="4.8554687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4" width="12" style="2" hidden="1" customWidth="1"/>
    <col min="45" max="46" width="10.42578125" style="2" hidden="1" customWidth="1"/>
    <col min="47" max="47" width="4.28515625" style="2" hidden="1" customWidth="1"/>
    <col min="48" max="48" width="7.7109375" style="39" hidden="1" customWidth="1"/>
    <col min="49" max="49" width="6.42578125" style="39" hidden="1" customWidth="1"/>
    <col min="50" max="50" width="5.7109375" style="2" hidden="1" customWidth="1"/>
    <col min="51" max="51" width="3" style="2" hidden="1" customWidth="1"/>
    <col min="52" max="52" width="5.28515625" style="4" hidden="1" customWidth="1"/>
    <col min="53" max="53" width="6.42578125" style="4" hidden="1" customWidth="1"/>
    <col min="54" max="54" width="51.7109375" customWidth="1"/>
    <col min="55" max="55" width="0" hidden="1" customWidth="1"/>
  </cols>
  <sheetData>
    <row r="1" spans="2:54" x14ac:dyDescent="0.2">
      <c r="C1" s="307"/>
      <c r="H1" s="248"/>
      <c r="X1" s="178"/>
      <c r="Y1" s="179"/>
      <c r="Z1" s="179" t="s">
        <v>110</v>
      </c>
      <c r="AA1" s="180"/>
      <c r="AD1" s="96">
        <v>0.29166666666666669</v>
      </c>
      <c r="AQ1" s="39" t="s">
        <v>111</v>
      </c>
      <c r="AR1" s="39" t="s">
        <v>112</v>
      </c>
      <c r="AS1" s="39" t="s">
        <v>113</v>
      </c>
      <c r="AT1" s="39" t="s">
        <v>114</v>
      </c>
      <c r="AU1" s="39"/>
      <c r="BB1" s="2"/>
    </row>
    <row r="2" spans="2:54" x14ac:dyDescent="0.2">
      <c r="C2" s="246"/>
      <c r="M2" s="136"/>
      <c r="N2" s="137"/>
      <c r="O2" s="137"/>
      <c r="P2" s="137"/>
      <c r="Q2" s="137"/>
      <c r="R2" s="137"/>
      <c r="S2" s="137"/>
      <c r="T2" s="137"/>
      <c r="U2" s="138"/>
      <c r="V2" s="139"/>
      <c r="X2" s="181" t="s">
        <v>115</v>
      </c>
      <c r="Y2" s="182"/>
      <c r="Z2" s="182" t="s">
        <v>116</v>
      </c>
      <c r="AA2" s="183"/>
      <c r="AC2" s="112"/>
      <c r="AD2" s="96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0"/>
      <c r="M3" s="140"/>
      <c r="N3" s="141"/>
      <c r="O3" s="141"/>
      <c r="P3" s="141"/>
      <c r="Q3" s="141"/>
      <c r="R3" s="141"/>
      <c r="S3" s="141"/>
      <c r="T3" s="141"/>
      <c r="U3" s="142"/>
      <c r="V3" s="143"/>
      <c r="X3" s="253" t="s">
        <v>117</v>
      </c>
      <c r="Y3" s="184"/>
      <c r="Z3" s="253"/>
      <c r="AA3" s="185"/>
      <c r="AD3" s="96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B4" s="277" t="s">
        <v>694</v>
      </c>
      <c r="C4" s="465" t="str">
        <f>Données!F6</f>
        <v>Memento 2022</v>
      </c>
      <c r="G4" s="4" t="s">
        <v>118</v>
      </c>
      <c r="I4" s="4"/>
      <c r="M4" s="386">
        <f>Fév!$G$53</f>
        <v>0</v>
      </c>
      <c r="P4" s="4" t="s">
        <v>119</v>
      </c>
      <c r="Q4" s="4"/>
      <c r="R4" s="4"/>
      <c r="S4" s="4"/>
      <c r="T4" s="4"/>
      <c r="U4" s="199">
        <f>IF(Fév!$G$46="x",Fév!$U$4,Fév!$G$49)</f>
        <v>0</v>
      </c>
      <c r="AV4" s="84"/>
      <c r="AW4" s="84" t="s">
        <v>120</v>
      </c>
      <c r="AX4" s="113">
        <v>0</v>
      </c>
      <c r="AY4" s="113"/>
      <c r="BB4" s="2"/>
    </row>
    <row r="5" spans="2:54" x14ac:dyDescent="0.2">
      <c r="B5" s="81"/>
      <c r="C5" s="82"/>
      <c r="D5" s="83" t="s">
        <v>122</v>
      </c>
      <c r="E5" s="83" t="s">
        <v>123</v>
      </c>
      <c r="F5" s="90" t="s">
        <v>124</v>
      </c>
      <c r="G5" s="91"/>
      <c r="H5" s="90" t="s">
        <v>124</v>
      </c>
      <c r="I5" s="91"/>
      <c r="J5" s="90" t="s">
        <v>124</v>
      </c>
      <c r="K5" s="91"/>
      <c r="L5" s="90" t="s">
        <v>125</v>
      </c>
      <c r="M5" s="91"/>
      <c r="N5" s="84" t="s">
        <v>126</v>
      </c>
      <c r="O5" s="93" t="s">
        <v>127</v>
      </c>
      <c r="P5" s="92"/>
      <c r="Q5" s="90" t="s">
        <v>128</v>
      </c>
      <c r="R5" s="134"/>
      <c r="S5" s="134"/>
      <c r="T5" s="91"/>
      <c r="U5" s="84" t="s">
        <v>129</v>
      </c>
      <c r="V5" s="84" t="s">
        <v>130</v>
      </c>
      <c r="W5" s="84" t="s">
        <v>129</v>
      </c>
      <c r="X5" s="84" t="s">
        <v>129</v>
      </c>
      <c r="Y5" s="300"/>
      <c r="Z5" s="84" t="s">
        <v>131</v>
      </c>
      <c r="AA5" s="301" t="s">
        <v>132</v>
      </c>
      <c r="AB5" s="8" t="s">
        <v>133</v>
      </c>
      <c r="AC5" s="8" t="s">
        <v>134</v>
      </c>
      <c r="AD5" s="8" t="s">
        <v>135</v>
      </c>
      <c r="AE5" s="8" t="s">
        <v>136</v>
      </c>
      <c r="AF5" s="8" t="s">
        <v>137</v>
      </c>
      <c r="AG5" s="8" t="s">
        <v>137</v>
      </c>
      <c r="AH5" s="8" t="s">
        <v>138</v>
      </c>
      <c r="AI5" s="8" t="s">
        <v>139</v>
      </c>
      <c r="AO5" s="4"/>
      <c r="AT5" s="4" t="s">
        <v>140</v>
      </c>
      <c r="AU5" s="4"/>
      <c r="AV5" s="231" t="s">
        <v>141</v>
      </c>
      <c r="AW5" s="231" t="s">
        <v>142</v>
      </c>
      <c r="AX5" s="84" t="s">
        <v>126</v>
      </c>
      <c r="AY5" s="250"/>
      <c r="BB5" s="4"/>
    </row>
    <row r="6" spans="2:54" x14ac:dyDescent="0.2">
      <c r="B6" s="85" t="s">
        <v>143</v>
      </c>
      <c r="C6" s="86" t="s">
        <v>144</v>
      </c>
      <c r="D6" s="87" t="s">
        <v>44</v>
      </c>
      <c r="E6" s="87" t="s">
        <v>145</v>
      </c>
      <c r="F6" s="86" t="s">
        <v>44</v>
      </c>
      <c r="G6" s="86" t="s">
        <v>45</v>
      </c>
      <c r="H6" s="86" t="s">
        <v>44</v>
      </c>
      <c r="I6" s="86" t="s">
        <v>45</v>
      </c>
      <c r="J6" s="86" t="s">
        <v>44</v>
      </c>
      <c r="K6" s="86" t="s">
        <v>45</v>
      </c>
      <c r="L6" s="86" t="s">
        <v>146</v>
      </c>
      <c r="M6" s="86" t="s">
        <v>147</v>
      </c>
      <c r="N6" s="86" t="s">
        <v>148</v>
      </c>
      <c r="O6" s="94" t="s">
        <v>149</v>
      </c>
      <c r="P6" s="95"/>
      <c r="Q6" s="357" t="s">
        <v>150</v>
      </c>
      <c r="R6" s="357" t="s">
        <v>151</v>
      </c>
      <c r="S6" s="357" t="s">
        <v>152</v>
      </c>
      <c r="T6" s="357" t="s">
        <v>153</v>
      </c>
      <c r="U6" s="176" t="s">
        <v>154</v>
      </c>
      <c r="V6" s="86" t="s">
        <v>155</v>
      </c>
      <c r="W6" s="86" t="s">
        <v>156</v>
      </c>
      <c r="X6" s="195" t="s">
        <v>157</v>
      </c>
      <c r="Y6" s="88" t="s">
        <v>131</v>
      </c>
      <c r="Z6" s="86" t="s">
        <v>158</v>
      </c>
      <c r="AA6" s="302" t="s">
        <v>159</v>
      </c>
      <c r="AB6" s="9" t="s">
        <v>160</v>
      </c>
      <c r="AC6" s="9" t="s">
        <v>160</v>
      </c>
      <c r="AD6" s="9" t="s">
        <v>137</v>
      </c>
      <c r="AE6" s="9" t="s">
        <v>161</v>
      </c>
      <c r="AF6" s="9" t="s">
        <v>156</v>
      </c>
      <c r="AG6" s="278" t="s">
        <v>157</v>
      </c>
      <c r="AH6" s="8" t="s">
        <v>137</v>
      </c>
      <c r="AI6" s="8" t="s">
        <v>162</v>
      </c>
      <c r="AJ6" s="56" t="s">
        <v>163</v>
      </c>
      <c r="AK6" s="11" t="s">
        <v>164</v>
      </c>
      <c r="AL6" s="101" t="s">
        <v>165</v>
      </c>
      <c r="AM6" s="10" t="s">
        <v>166</v>
      </c>
      <c r="AN6" s="10" t="s">
        <v>167</v>
      </c>
      <c r="AO6" s="10"/>
      <c r="AP6" s="11" t="s">
        <v>168</v>
      </c>
      <c r="AQ6" s="11" t="s">
        <v>169</v>
      </c>
      <c r="AR6" s="11" t="s">
        <v>170</v>
      </c>
      <c r="AS6" s="11" t="s">
        <v>171</v>
      </c>
      <c r="AT6" s="10" t="s">
        <v>166</v>
      </c>
      <c r="AU6" s="10" t="s">
        <v>172</v>
      </c>
      <c r="AV6" s="232" t="s">
        <v>173</v>
      </c>
      <c r="AW6" s="232" t="s">
        <v>174</v>
      </c>
      <c r="AX6" s="86" t="s">
        <v>148</v>
      </c>
      <c r="AY6" s="251"/>
      <c r="AZ6" s="11"/>
      <c r="BA6" s="11"/>
      <c r="BB6" s="11" t="s">
        <v>175</v>
      </c>
    </row>
    <row r="7" spans="2:54" x14ac:dyDescent="0.2">
      <c r="B7" s="467" t="s">
        <v>176</v>
      </c>
      <c r="C7" s="468" t="s">
        <v>309</v>
      </c>
      <c r="D7" s="469"/>
      <c r="E7" s="469"/>
      <c r="F7" s="470"/>
      <c r="G7" s="470"/>
      <c r="H7" s="470"/>
      <c r="I7" s="470"/>
      <c r="J7" s="470"/>
      <c r="K7" s="470"/>
      <c r="L7" s="471">
        <f>(G7-F7)+(I7-H7)+(K7-J7)+AJ7+AO7</f>
        <v>0</v>
      </c>
      <c r="M7" s="471">
        <f>IF(Fév!$H$46="x",(L7+Fév!$M$35)+M4,L7+M4)</f>
        <v>0</v>
      </c>
      <c r="N7" s="471">
        <f>IF(Fév!$H$46="x",AV7+Fév!$N$35,AV7)</f>
        <v>0.31666666666666665</v>
      </c>
      <c r="O7" s="483" t="str">
        <f>IF((M7-N7-U$4)&lt;0,"-","+")</f>
        <v>-</v>
      </c>
      <c r="P7" s="473">
        <f>ABS(M7-N7-U$4)</f>
        <v>0.31666666666666665</v>
      </c>
      <c r="Q7" s="474">
        <f>AQ7</f>
        <v>0</v>
      </c>
      <c r="R7" s="474">
        <f>AR7</f>
        <v>0</v>
      </c>
      <c r="S7" s="474">
        <f>AS7</f>
        <v>0</v>
      </c>
      <c r="T7" s="474">
        <f>AP7</f>
        <v>0</v>
      </c>
      <c r="U7" s="471">
        <f>IF($Z$3="x",AD7,)</f>
        <v>0</v>
      </c>
      <c r="V7" s="471">
        <f t="shared" ref="V7:V10" si="0">IF(D7="F",L7,0)</f>
        <v>0</v>
      </c>
      <c r="W7" s="471">
        <f>IF($X$3="x",AF7,)</f>
        <v>0</v>
      </c>
      <c r="X7" s="471">
        <f>IF($X$3="x",AG7,)</f>
        <v>0</v>
      </c>
      <c r="Y7" s="484"/>
      <c r="Z7" s="470"/>
      <c r="AA7" s="470"/>
      <c r="AB7" s="475">
        <f>IF((G7&gt;$AD$3)*AND(F7&lt;=$AD$3),G7-$AD$3,)+IF(F7&gt;$AD$3,G7-F7,)+IF((I7&gt;$AD$3)*AND(H7&lt;=$AD$3),I7-$AD$3,)+IF((H7&gt;$AD$3),I7-H7,)+IF((K7&gt;$AD$3)*AND(J7&lt;=$AD$3),K7-$AD$3,)+IF((J7&gt;$AD$3),K7-J7,)</f>
        <v>0</v>
      </c>
      <c r="AC7" s="475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75">
        <f>AB7+AC7</f>
        <v>0</v>
      </c>
      <c r="AE7" s="475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76">
        <f>AB7-AE7</f>
        <v>0</v>
      </c>
      <c r="AG7" s="475">
        <f>AI7+AE7</f>
        <v>0</v>
      </c>
      <c r="AH7" s="476">
        <f>AD7</f>
        <v>0</v>
      </c>
      <c r="AI7" s="475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77">
        <f>IF((D7&lt;&gt;""),VLOOKUP(D7,Données!$E$36:$H$59,4,FALSE),)</f>
        <v>0</v>
      </c>
      <c r="AK7" s="477">
        <f>IF(V7&gt;0,L7,0)</f>
        <v>0</v>
      </c>
      <c r="AL7" s="478">
        <f>IF(L7&gt;0,D7,0)</f>
        <v>0</v>
      </c>
      <c r="AM7" s="479">
        <f>IF((E7="X")*OR(E7="x"),1,0)</f>
        <v>0</v>
      </c>
      <c r="AN7" s="480">
        <f>IF(D7="F",1,)+IF((D7="JP")*AND(((G7-F7)+(I7-H7)+(K7-J7))&gt;0),1,0)</f>
        <v>0</v>
      </c>
      <c r="AO7" s="477">
        <f>IF((D7="JP")*AND(((G7-F7)+(I7-H7)+(K7-J7))=0),"07:36",0)</f>
        <v>0</v>
      </c>
      <c r="AP7" s="481">
        <f>IF((F7&lt;=$AQ$2)*AND(G7&gt;=$AQ$3),1,)+IF((H7&lt;=$AQ$2)*AND(I7&gt;=$AQ$3),1,)+IF((J7&lt;=$AQ$2)*AND(K7&gt;=$AQ$3),1,)</f>
        <v>0</v>
      </c>
      <c r="AQ7" s="481">
        <f>IF((F7&lt;=$AR$2)*AND(G7&gt;=$AR$3),1,)+IF((H7&lt;=$AR$2)*AND(I7&gt;=$AR$3),1,)+IF((J7&lt;=$AR$2)*AND(K7&gt;=$AR$3),1,)</f>
        <v>0</v>
      </c>
      <c r="AR7" s="481">
        <f>IF((F7&lt;=$AS$2)*AND(G7&gt;=$AS$3),1,)+IF((H7&lt;=$AS$2)*AND(I7&gt;=$AS$3),1,)+IF((J7&lt;=$AS$2)*AND(K7&gt;=$AS$3),1,)</f>
        <v>0</v>
      </c>
      <c r="AS7" s="481">
        <f>IF((F7=$AT$2)*AND(G7&gt;=$AT$3),1,)+IF((H7=$AT$2)*AND(I7&gt;=$AT$3),1,)+IF((J7=$AT$2)*AND(K7&gt;=$AT$3),1,)</f>
        <v>0</v>
      </c>
      <c r="AT7" s="479">
        <f>IF((E7="me")*OR(E7="ME"),1,0)</f>
        <v>0</v>
      </c>
      <c r="AU7" s="479">
        <f>IF((E7="M")*OR(E7="m"),1,0)</f>
        <v>0</v>
      </c>
      <c r="AV7" s="471">
        <f>IF(Données!$H$8="x",AW7,AX7)</f>
        <v>0.31666666666666665</v>
      </c>
      <c r="AW7" s="471">
        <f t="shared" ref="AW7:AW37" si="1">AX7/2</f>
        <v>0.15833333333333333</v>
      </c>
      <c r="AX7" s="471">
        <f>IF(D7="L",AX4,(AX4+"07:36"))</f>
        <v>0.31666666666666665</v>
      </c>
      <c r="AY7" s="467" t="str">
        <f>B7</f>
        <v>Ma</v>
      </c>
      <c r="AZ7" s="478">
        <f>IF((S40="HAU1")*AND(S41&lt;&gt;""),VLOOKUP(S41,Échelle!$Q$5:$R$31,2),)</f>
        <v>0</v>
      </c>
      <c r="BA7" s="479" t="s">
        <v>0</v>
      </c>
      <c r="BB7" s="148"/>
    </row>
    <row r="8" spans="2:54" x14ac:dyDescent="0.2">
      <c r="B8" s="467" t="s">
        <v>178</v>
      </c>
      <c r="C8" s="468" t="s">
        <v>310</v>
      </c>
      <c r="D8" s="469"/>
      <c r="E8" s="469"/>
      <c r="F8" s="470"/>
      <c r="G8" s="470"/>
      <c r="H8" s="470"/>
      <c r="I8" s="470"/>
      <c r="J8" s="470"/>
      <c r="K8" s="470"/>
      <c r="L8" s="471">
        <f>(G8-F8)+(I8-H8)+(K8-J8)+AJ8+AO8</f>
        <v>0</v>
      </c>
      <c r="M8" s="471">
        <f t="shared" ref="M8:M37" si="2">M7+L8</f>
        <v>0</v>
      </c>
      <c r="N8" s="471">
        <f>IF(Fév!$H$46="x",AV8+Fév!$N$34,AV8)</f>
        <v>0.6333333333333333</v>
      </c>
      <c r="O8" s="483" t="str">
        <f t="shared" ref="O8:O37" si="3">IF((M8-N8-U$4)&lt;0,"-","+")</f>
        <v>-</v>
      </c>
      <c r="P8" s="473">
        <f t="shared" ref="P8:P37" si="4">ABS(M8-N8-U$4)</f>
        <v>0.6333333333333333</v>
      </c>
      <c r="Q8" s="474">
        <f t="shared" ref="Q8:Q37" si="5">AQ8</f>
        <v>0</v>
      </c>
      <c r="R8" s="474">
        <f t="shared" ref="R8:R37" si="6">AR8</f>
        <v>0</v>
      </c>
      <c r="S8" s="474">
        <f t="shared" ref="S8:S37" si="7">AS8</f>
        <v>0</v>
      </c>
      <c r="T8" s="474">
        <f t="shared" ref="T8:T37" si="8">AP8</f>
        <v>0</v>
      </c>
      <c r="U8" s="471">
        <f t="shared" ref="U8:U37" si="9">IF($Z$3="x",AD8,)</f>
        <v>0</v>
      </c>
      <c r="V8" s="471">
        <f t="shared" si="0"/>
        <v>0</v>
      </c>
      <c r="W8" s="471">
        <f t="shared" ref="W8:W37" si="10">IF($X$3="x",AF8,)</f>
        <v>0</v>
      </c>
      <c r="X8" s="471">
        <f t="shared" ref="X8:X37" si="11">IF($X$3="x",AG8,)</f>
        <v>0</v>
      </c>
      <c r="Y8" s="484"/>
      <c r="Z8" s="470"/>
      <c r="AA8" s="470"/>
      <c r="AB8" s="475">
        <f>IF((G8&gt;$AD$3)*AND(F8&lt;=$AD$3),G8-$AD$3,)+IF(F8&gt;$AD$3,G8-F8,)+IF((I8&gt;$AD$3)*AND(H8&lt;=$AD$3),I8-$AD$3,)+IF((H8&gt;$AD$3),I8-H8,)+IF((K8&gt;$AD$3)*AND(J8&lt;=$AD$3),K8-$AD$3,)+IF((J8&gt;$AD$3),K8-J8,)</f>
        <v>0</v>
      </c>
      <c r="AC8" s="475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75">
        <f>AB8+AC8</f>
        <v>0</v>
      </c>
      <c r="AE8" s="475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76">
        <f>AB8-AE8</f>
        <v>0</v>
      </c>
      <c r="AG8" s="475">
        <f>AI8+AE8</f>
        <v>0</v>
      </c>
      <c r="AH8" s="476">
        <f>AD8</f>
        <v>0</v>
      </c>
      <c r="AI8" s="475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77">
        <f>IF((D8&lt;&gt;""),VLOOKUP(D8,Données!$E$36:$H$59,4,FALSE),)</f>
        <v>0</v>
      </c>
      <c r="AK8" s="477">
        <f>IF(V8&gt;0,L8,0)</f>
        <v>0</v>
      </c>
      <c r="AL8" s="478">
        <f>IF(L8&gt;0,D8,0)</f>
        <v>0</v>
      </c>
      <c r="AM8" s="479">
        <f>IF((E8="X")*OR(E8="x"),1,0)</f>
        <v>0</v>
      </c>
      <c r="AN8" s="480">
        <f t="shared" ref="AN8:AN37" si="12">IF(D8="F",1,)+IF((D8="JP")*AND(((G8-F8)+(I8-H8)+(K8-J8))&gt;0),1,0)</f>
        <v>0</v>
      </c>
      <c r="AO8" s="477">
        <f t="shared" ref="AO8:AO37" si="13">IF((D8="JP")*AND(((G8-F8)+(I8-H8)+(K8-J8))=0),"07:36",0)</f>
        <v>0</v>
      </c>
      <c r="AP8" s="481">
        <f>IF((F8&lt;=$AQ$2)*AND(G8&gt;=$AQ$3),1,)+IF((H8&lt;=$AQ$2)*AND(I8&gt;=$AQ$3),1,)+IF((J8&lt;=$AQ$2)*AND(K8&gt;=$AQ$3),1,)</f>
        <v>0</v>
      </c>
      <c r="AQ8" s="481">
        <f>IF((F8&lt;=$AR$2)*AND(G8&gt;=$AR$3),1,)+IF((H8&lt;=$AR$2)*AND(I8&gt;=$AR$3),1,)+IF((J8&lt;=$AR$2)*AND(K8&gt;=$AR$3),1,)</f>
        <v>0</v>
      </c>
      <c r="AR8" s="481">
        <f>IF((F8&lt;=$AS$2)*AND(G8&gt;=$AS$3),1,)+IF((H8&lt;=$AS$2)*AND(I8&gt;=$AS$3),1,)+IF((J8&lt;=$AS$2)*AND(K8&gt;=$AS$3),1,)</f>
        <v>0</v>
      </c>
      <c r="AS8" s="481">
        <f>IF((F8=$AT$2)*AND(G8&gt;=$AT$3),1,)+IF((H8=$AT$2)*AND(I8&gt;=$AT$3),1,)+IF((J8=$AT$2)*AND(K8&gt;=$AT$3),1,)</f>
        <v>0</v>
      </c>
      <c r="AT8" s="479">
        <f t="shared" ref="AT8:AT37" si="14">IF((E8="me")*OR(E8="ME"),1,0)</f>
        <v>0</v>
      </c>
      <c r="AU8" s="479">
        <f t="shared" ref="AU8:AU37" si="15">IF((E8="M")*OR(E8="m"),1,0)</f>
        <v>0</v>
      </c>
      <c r="AV8" s="471">
        <f>IF(Données!$H$8="x",AW8,AX8)</f>
        <v>0.6333333333333333</v>
      </c>
      <c r="AW8" s="471">
        <f t="shared" si="1"/>
        <v>0.31666666666666665</v>
      </c>
      <c r="AX8" s="471">
        <f t="shared" ref="AX8:AX10" si="16">IF(D8="L",AX7,(AX7+"07:36"))</f>
        <v>0.6333333333333333</v>
      </c>
      <c r="AY8" s="467" t="str">
        <f t="shared" ref="AY8:AY37" si="17">B8</f>
        <v>Me</v>
      </c>
      <c r="AZ8" s="7">
        <f>IF((S40="HAU2")*AND(S41&lt;&gt;""),VLOOKUP(S41,Échelle!$T$5:$U$31,2),)</f>
        <v>0</v>
      </c>
      <c r="BA8" s="4" t="s">
        <v>1</v>
      </c>
      <c r="BB8" s="148"/>
    </row>
    <row r="9" spans="2:54" x14ac:dyDescent="0.2">
      <c r="B9" s="467" t="s">
        <v>180</v>
      </c>
      <c r="C9" s="468" t="s">
        <v>311</v>
      </c>
      <c r="D9" s="469"/>
      <c r="E9" s="469"/>
      <c r="F9" s="470"/>
      <c r="G9" s="470"/>
      <c r="H9" s="470"/>
      <c r="I9" s="470"/>
      <c r="J9" s="470"/>
      <c r="K9" s="470"/>
      <c r="L9" s="471">
        <f>(G9-F9)+(I9-H9)+(K9-J9)+AJ9+AO9</f>
        <v>0</v>
      </c>
      <c r="M9" s="471">
        <f t="shared" si="2"/>
        <v>0</v>
      </c>
      <c r="N9" s="471">
        <f>IF(Fév!$H$46="x",AV9+Fév!$N$34,AV9)</f>
        <v>0.95</v>
      </c>
      <c r="O9" s="483" t="str">
        <f t="shared" si="3"/>
        <v>-</v>
      </c>
      <c r="P9" s="473">
        <f t="shared" si="4"/>
        <v>0.95</v>
      </c>
      <c r="Q9" s="474">
        <f t="shared" si="5"/>
        <v>0</v>
      </c>
      <c r="R9" s="474">
        <f t="shared" si="6"/>
        <v>0</v>
      </c>
      <c r="S9" s="474">
        <f t="shared" si="7"/>
        <v>0</v>
      </c>
      <c r="T9" s="474">
        <f t="shared" si="8"/>
        <v>0</v>
      </c>
      <c r="U9" s="471">
        <f t="shared" si="9"/>
        <v>0</v>
      </c>
      <c r="V9" s="471">
        <f t="shared" si="0"/>
        <v>0</v>
      </c>
      <c r="W9" s="471">
        <f t="shared" si="10"/>
        <v>0</v>
      </c>
      <c r="X9" s="471">
        <f t="shared" si="11"/>
        <v>0</v>
      </c>
      <c r="Y9" s="484"/>
      <c r="Z9" s="470"/>
      <c r="AA9" s="470"/>
      <c r="AB9" s="475">
        <f t="shared" ref="AB9:AB37" si="18">IF((G9&gt;$AD$3)*AND(F9&lt;=$AD$3),G9-$AD$3,)+IF(F9&gt;$AD$3,G9-F9,)+IF((I9&gt;$AD$3)*AND(H9&lt;=$AD$3),I9-$AD$3,)+IF((H9&gt;$AD$3),I9-H9,)+IF((K9&gt;$AD$3)*AND(J9&lt;=$AD$3),K9-$AD$3,)+IF((J9&gt;$AD$3),K9-J9,)</f>
        <v>0</v>
      </c>
      <c r="AC9" s="475">
        <f t="shared" ref="AC9:AC37" si="19">IF((G9&gt;=$AD$1)*AND(F9&lt;$AD$1),($AD$1)-F9,)+IF((G9&lt;$AD$1),G9-F9,)+IF((I9&gt;=$AD$1)*AND(H9&lt;$AD$1),($AD$1)-H9,)+IF((I9&lt;$AD$1),I9-H9,)+IF((K9&gt;=$AD$1)*AND(J9&lt;$AD$1),($AD$1)-J9,)+IF((K9&lt;$AD$1),K9-J9,)</f>
        <v>0</v>
      </c>
      <c r="AD9" s="475">
        <f t="shared" ref="AD9:AD37" si="20">AB9+AC9</f>
        <v>0</v>
      </c>
      <c r="AE9" s="475">
        <f t="shared" ref="AE9:AE37" si="21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76">
        <f t="shared" ref="AF9:AF37" si="22">AB9-AE9</f>
        <v>0</v>
      </c>
      <c r="AG9" s="475">
        <f t="shared" ref="AG9:AG37" si="23">AI9+AE9</f>
        <v>0</v>
      </c>
      <c r="AH9" s="476">
        <f t="shared" ref="AH9:AH37" si="24">AD9</f>
        <v>0</v>
      </c>
      <c r="AI9" s="475">
        <f t="shared" ref="AI9:AI37" si="25">IF((G9&gt;=$AD$2)*AND(F9&lt;$AD$2),($AD$2)-F9,)+IF((G9&lt;$AD$2),G9-F9,)+IF((I9&gt;=$AD$2)*AND(H9&lt;$AD$2),($AD$2)-H9,)+IF((I9&lt;$AD$2),I9-H9,)+IF((K9&gt;=$AD$2)*AND(J9&lt;$AD$2),($AD$2)-J9,)+IF((K9&lt;$AD$2),K9-J9,)</f>
        <v>0</v>
      </c>
      <c r="AJ9" s="477">
        <f>IF((D9&lt;&gt;""),VLOOKUP(D9,Données!$E$36:$H$59,4,FALSE),)</f>
        <v>0</v>
      </c>
      <c r="AK9" s="477">
        <f>IF(V9&gt;0,L9,0)</f>
        <v>0</v>
      </c>
      <c r="AL9" s="478">
        <f>IF(L9&gt;0,D9,0)</f>
        <v>0</v>
      </c>
      <c r="AM9" s="479">
        <f>IF((E9="X")*OR(E9="x"),1,0)</f>
        <v>0</v>
      </c>
      <c r="AN9" s="480">
        <f t="shared" si="12"/>
        <v>0</v>
      </c>
      <c r="AO9" s="477">
        <f t="shared" si="13"/>
        <v>0</v>
      </c>
      <c r="AP9" s="481">
        <f>IF((F9&lt;=$AQ$2)*AND(G9&gt;=$AQ$3),1,)+IF((H9&lt;=$AQ$2)*AND(I9&gt;=$AQ$3),1,)+IF((J9&lt;=$AQ$2)*AND(K9&gt;=$AQ$3),1,)</f>
        <v>0</v>
      </c>
      <c r="AQ9" s="481">
        <f>IF((F9&lt;=$AR$2)*AND(G9&gt;=$AR$3),1,)+IF((H9&lt;=$AR$2)*AND(I9&gt;=$AR$3),1,)+IF((J9&lt;=$AR$2)*AND(K9&gt;=$AR$3),1,)</f>
        <v>0</v>
      </c>
      <c r="AR9" s="481">
        <f>IF((F9&lt;=$AS$2)*AND(G9&gt;=$AS$3),1,)+IF((H9&lt;=$AS$2)*AND(I9&gt;=$AS$3),1,)+IF((J9&lt;=$AS$2)*AND(K9&gt;=$AS$3),1,)</f>
        <v>0</v>
      </c>
      <c r="AS9" s="481">
        <f>IF((F9=$AT$2)*AND(G9&gt;=$AT$3),1,)+IF((H9=$AT$2)*AND(I9&gt;=$AT$3),1,)+IF((J9=$AT$2)*AND(K9&gt;=$AT$3),1,)</f>
        <v>0</v>
      </c>
      <c r="AT9" s="479">
        <f t="shared" si="14"/>
        <v>0</v>
      </c>
      <c r="AU9" s="479">
        <f t="shared" si="15"/>
        <v>0</v>
      </c>
      <c r="AV9" s="471">
        <f>IF(Données!$H$8="x",AW9,AX9)</f>
        <v>0.95</v>
      </c>
      <c r="AW9" s="471">
        <f t="shared" si="1"/>
        <v>0.47499999999999998</v>
      </c>
      <c r="AX9" s="471">
        <f t="shared" si="16"/>
        <v>0.95</v>
      </c>
      <c r="AY9" s="467" t="str">
        <f t="shared" si="17"/>
        <v>Je</v>
      </c>
      <c r="AZ9" s="7">
        <f>IF((S40="HAU3")*AND(S41&lt;&gt;""),VLOOKUP(S41,Échelle!$W$5:$X$31,2),)</f>
        <v>0</v>
      </c>
      <c r="BA9" s="4" t="s">
        <v>2</v>
      </c>
      <c r="BB9" s="148"/>
    </row>
    <row r="10" spans="2:54" x14ac:dyDescent="0.2">
      <c r="B10" s="467" t="s">
        <v>182</v>
      </c>
      <c r="C10" s="468" t="s">
        <v>312</v>
      </c>
      <c r="D10" s="469"/>
      <c r="E10" s="469"/>
      <c r="F10" s="470"/>
      <c r="G10" s="470"/>
      <c r="H10" s="470"/>
      <c r="I10" s="470"/>
      <c r="J10" s="470"/>
      <c r="K10" s="470"/>
      <c r="L10" s="471">
        <f>(G10-F10)+(I10-H10)+(K10-J10)+AJ10+AO10</f>
        <v>0</v>
      </c>
      <c r="M10" s="471">
        <f>M9+L10</f>
        <v>0</v>
      </c>
      <c r="N10" s="471">
        <f>IF(Fév!$H$46="x",AV10+Fév!$N$34,AV10)</f>
        <v>1.2666666666666666</v>
      </c>
      <c r="O10" s="483" t="str">
        <f t="shared" si="3"/>
        <v>-</v>
      </c>
      <c r="P10" s="473">
        <f t="shared" si="4"/>
        <v>1.2666666666666666</v>
      </c>
      <c r="Q10" s="474">
        <f t="shared" si="5"/>
        <v>0</v>
      </c>
      <c r="R10" s="474">
        <f t="shared" si="6"/>
        <v>0</v>
      </c>
      <c r="S10" s="474">
        <f t="shared" si="7"/>
        <v>0</v>
      </c>
      <c r="T10" s="474">
        <f t="shared" si="8"/>
        <v>0</v>
      </c>
      <c r="U10" s="471">
        <f t="shared" si="9"/>
        <v>0</v>
      </c>
      <c r="V10" s="471">
        <f t="shared" si="0"/>
        <v>0</v>
      </c>
      <c r="W10" s="471">
        <f t="shared" si="10"/>
        <v>0</v>
      </c>
      <c r="X10" s="471">
        <f t="shared" si="11"/>
        <v>0</v>
      </c>
      <c r="Y10" s="484"/>
      <c r="Z10" s="470"/>
      <c r="AA10" s="470"/>
      <c r="AB10" s="475">
        <f t="shared" si="18"/>
        <v>0</v>
      </c>
      <c r="AC10" s="475">
        <f t="shared" si="19"/>
        <v>0</v>
      </c>
      <c r="AD10" s="475">
        <f t="shared" si="20"/>
        <v>0</v>
      </c>
      <c r="AE10" s="475">
        <f t="shared" si="21"/>
        <v>0</v>
      </c>
      <c r="AF10" s="476">
        <f t="shared" si="22"/>
        <v>0</v>
      </c>
      <c r="AG10" s="475">
        <f t="shared" si="23"/>
        <v>0</v>
      </c>
      <c r="AH10" s="476">
        <f t="shared" si="24"/>
        <v>0</v>
      </c>
      <c r="AI10" s="475">
        <f t="shared" si="25"/>
        <v>0</v>
      </c>
      <c r="AJ10" s="477">
        <f>IF((D10&lt;&gt;""),VLOOKUP(D10,Données!$E$36:$H$59,4,FALSE),)</f>
        <v>0</v>
      </c>
      <c r="AK10" s="477">
        <f t="shared" ref="AK10:AK37" si="26">IF(V10&gt;0,L10,0)</f>
        <v>0</v>
      </c>
      <c r="AL10" s="478">
        <f t="shared" ref="AL10:AL37" si="27">IF(L10&gt;0,D10,0)</f>
        <v>0</v>
      </c>
      <c r="AM10" s="479">
        <f t="shared" ref="AM10:AM37" si="28">IF((E10="X")*OR(E10="x"),1,0)</f>
        <v>0</v>
      </c>
      <c r="AN10" s="480">
        <f t="shared" si="12"/>
        <v>0</v>
      </c>
      <c r="AO10" s="477">
        <f t="shared" si="13"/>
        <v>0</v>
      </c>
      <c r="AP10" s="481">
        <f t="shared" ref="AP10:AP37" si="29">IF((F10&lt;=$AQ$2)*AND(G10&gt;=$AQ$3),1,)+IF((H10&lt;=$AQ$2)*AND(I10&gt;=$AQ$3),1,)+IF((J10&lt;=$AQ$2)*AND(K10&gt;=$AQ$3),1,)</f>
        <v>0</v>
      </c>
      <c r="AQ10" s="481">
        <f t="shared" ref="AQ10:AQ37" si="30">IF((F10&lt;=$AR$2)*AND(G10&gt;=$AR$3),1,)+IF((H10&lt;=$AR$2)*AND(I10&gt;=$AR$3),1,)+IF((J10&lt;=$AR$2)*AND(K10&gt;=$AR$3),1,)</f>
        <v>0</v>
      </c>
      <c r="AR10" s="481">
        <f t="shared" ref="AR10:AR37" si="31">IF((F10&lt;=$AS$2)*AND(G10&gt;=$AS$3),1,)+IF((H10&lt;=$AS$2)*AND(I10&gt;=$AS$3),1,)+IF((J10&lt;=$AS$2)*AND(K10&gt;=$AS$3),1,)</f>
        <v>0</v>
      </c>
      <c r="AS10" s="481">
        <f t="shared" ref="AS10:AS37" si="32">IF((F10=$AT$2)*AND(G10&gt;=$AT$3),1,)+IF((H10=$AT$2)*AND(I10&gt;=$AT$3),1,)+IF((J10=$AT$2)*AND(K10&gt;=$AT$3),1,)</f>
        <v>0</v>
      </c>
      <c r="AT10" s="479">
        <f t="shared" si="14"/>
        <v>0</v>
      </c>
      <c r="AU10" s="479">
        <f t="shared" si="15"/>
        <v>0</v>
      </c>
      <c r="AV10" s="471">
        <f>IF(Données!$H$8="x",AW10,AX10)</f>
        <v>1.2666666666666666</v>
      </c>
      <c r="AW10" s="471">
        <f t="shared" si="1"/>
        <v>0.6333333333333333</v>
      </c>
      <c r="AX10" s="471">
        <f t="shared" si="16"/>
        <v>1.2666666666666666</v>
      </c>
      <c r="AY10" s="467" t="str">
        <f t="shared" si="17"/>
        <v>Ve</v>
      </c>
      <c r="AZ10" s="7">
        <f>IF((S40="B1")*AND(S41&lt;&gt;""),VLOOKUP(S41,Échelle!$Z$5:$AA$31,2),)</f>
        <v>0</v>
      </c>
      <c r="BA10" s="4" t="s">
        <v>3</v>
      </c>
      <c r="BB10" s="148"/>
    </row>
    <row r="11" spans="2:54" x14ac:dyDescent="0.2">
      <c r="B11" s="403" t="s">
        <v>184</v>
      </c>
      <c r="C11" s="412" t="s">
        <v>313</v>
      </c>
      <c r="D11" s="411"/>
      <c r="E11" s="411"/>
      <c r="F11" s="401"/>
      <c r="G11" s="401"/>
      <c r="H11" s="401"/>
      <c r="I11" s="401"/>
      <c r="J11" s="401"/>
      <c r="K11" s="401"/>
      <c r="L11" s="402">
        <f>(G11-F11)+(I11-H11)+(K11-J11)</f>
        <v>0</v>
      </c>
      <c r="M11" s="402">
        <f>M10+L11</f>
        <v>0</v>
      </c>
      <c r="N11" s="402">
        <f>IF(Fév!$H$46="x",AV11+Fév!$N$34,AV11)</f>
        <v>1.2666666666666666</v>
      </c>
      <c r="O11" s="408" t="str">
        <f t="shared" si="3"/>
        <v>-</v>
      </c>
      <c r="P11" s="413">
        <f t="shared" si="4"/>
        <v>1.2666666666666666</v>
      </c>
      <c r="Q11" s="410">
        <f t="shared" si="5"/>
        <v>0</v>
      </c>
      <c r="R11" s="410">
        <f t="shared" si="6"/>
        <v>0</v>
      </c>
      <c r="S11" s="410">
        <f t="shared" si="7"/>
        <v>0</v>
      </c>
      <c r="T11" s="410">
        <f t="shared" si="8"/>
        <v>0</v>
      </c>
      <c r="U11" s="402">
        <f t="shared" si="9"/>
        <v>0</v>
      </c>
      <c r="V11" s="402">
        <f>L11</f>
        <v>0</v>
      </c>
      <c r="W11" s="402">
        <f t="shared" si="10"/>
        <v>0</v>
      </c>
      <c r="X11" s="402">
        <f t="shared" si="11"/>
        <v>0</v>
      </c>
      <c r="Y11" s="427"/>
      <c r="Z11" s="401"/>
      <c r="AA11" s="401"/>
      <c r="AB11" s="420">
        <f t="shared" si="18"/>
        <v>0</v>
      </c>
      <c r="AC11" s="420">
        <f t="shared" si="19"/>
        <v>0</v>
      </c>
      <c r="AD11" s="420">
        <f t="shared" si="20"/>
        <v>0</v>
      </c>
      <c r="AE11" s="420">
        <f t="shared" si="21"/>
        <v>0</v>
      </c>
      <c r="AF11" s="421">
        <f t="shared" si="22"/>
        <v>0</v>
      </c>
      <c r="AG11" s="420">
        <f t="shared" si="23"/>
        <v>0</v>
      </c>
      <c r="AH11" s="421">
        <f t="shared" si="24"/>
        <v>0</v>
      </c>
      <c r="AI11" s="420">
        <f t="shared" si="25"/>
        <v>0</v>
      </c>
      <c r="AJ11" s="422">
        <f>IF((D11&lt;&gt;""),VLOOKUP(D11,Données!$E$36:$H$59,4,FALSE),)</f>
        <v>0</v>
      </c>
      <c r="AK11" s="422">
        <f t="shared" si="26"/>
        <v>0</v>
      </c>
      <c r="AL11" s="423">
        <f t="shared" si="27"/>
        <v>0</v>
      </c>
      <c r="AM11" s="424">
        <f t="shared" si="28"/>
        <v>0</v>
      </c>
      <c r="AN11" s="425">
        <f t="shared" si="12"/>
        <v>0</v>
      </c>
      <c r="AO11" s="422">
        <f t="shared" si="13"/>
        <v>0</v>
      </c>
      <c r="AP11" s="426">
        <f t="shared" si="29"/>
        <v>0</v>
      </c>
      <c r="AQ11" s="426">
        <f t="shared" si="30"/>
        <v>0</v>
      </c>
      <c r="AR11" s="426">
        <f t="shared" si="31"/>
        <v>0</v>
      </c>
      <c r="AS11" s="426">
        <f t="shared" si="32"/>
        <v>0</v>
      </c>
      <c r="AT11" s="424">
        <f t="shared" si="14"/>
        <v>0</v>
      </c>
      <c r="AU11" s="424">
        <f t="shared" si="15"/>
        <v>0</v>
      </c>
      <c r="AV11" s="402">
        <f>IF(Données!$H$8="x",AW11,AX11)</f>
        <v>1.2666666666666666</v>
      </c>
      <c r="AW11" s="402">
        <f t="shared" si="1"/>
        <v>0.6333333333333333</v>
      </c>
      <c r="AX11" s="402">
        <f>AX10</f>
        <v>1.2666666666666666</v>
      </c>
      <c r="AY11" s="403" t="str">
        <f t="shared" si="17"/>
        <v>Sa</v>
      </c>
      <c r="AZ11" s="423">
        <f>IF((S40="B2")*AND(S41&lt;&gt;""),VLOOKUP(S41,Échelle!$AC$5:$AD$31,2),)</f>
        <v>0</v>
      </c>
      <c r="BA11" s="424" t="s">
        <v>4</v>
      </c>
      <c r="BB11" s="148"/>
    </row>
    <row r="12" spans="2:54" x14ac:dyDescent="0.2">
      <c r="B12" s="403" t="s">
        <v>186</v>
      </c>
      <c r="C12" s="412" t="s">
        <v>314</v>
      </c>
      <c r="D12" s="411"/>
      <c r="E12" s="411"/>
      <c r="F12" s="401"/>
      <c r="G12" s="401"/>
      <c r="H12" s="401"/>
      <c r="I12" s="401"/>
      <c r="J12" s="401"/>
      <c r="K12" s="401"/>
      <c r="L12" s="402">
        <f>(G12-F12)+(I12-H12)+(K12-J12)</f>
        <v>0</v>
      </c>
      <c r="M12" s="402">
        <f t="shared" si="2"/>
        <v>0</v>
      </c>
      <c r="N12" s="402">
        <f>IF(Fév!$H$46="x",AV12+Fév!$N$34,AV12)</f>
        <v>1.2666666666666666</v>
      </c>
      <c r="O12" s="408" t="str">
        <f t="shared" si="3"/>
        <v>-</v>
      </c>
      <c r="P12" s="413">
        <f t="shared" si="4"/>
        <v>1.2666666666666666</v>
      </c>
      <c r="Q12" s="410">
        <f t="shared" si="5"/>
        <v>0</v>
      </c>
      <c r="R12" s="410">
        <f t="shared" si="6"/>
        <v>0</v>
      </c>
      <c r="S12" s="410">
        <f t="shared" si="7"/>
        <v>0</v>
      </c>
      <c r="T12" s="410">
        <f t="shared" si="8"/>
        <v>0</v>
      </c>
      <c r="U12" s="402">
        <f t="shared" si="9"/>
        <v>0</v>
      </c>
      <c r="V12" s="402">
        <f>L12</f>
        <v>0</v>
      </c>
      <c r="W12" s="402">
        <f t="shared" si="10"/>
        <v>0</v>
      </c>
      <c r="X12" s="402">
        <f t="shared" si="11"/>
        <v>0</v>
      </c>
      <c r="Y12" s="427"/>
      <c r="Z12" s="401"/>
      <c r="AA12" s="401"/>
      <c r="AB12" s="420">
        <f t="shared" si="18"/>
        <v>0</v>
      </c>
      <c r="AC12" s="420">
        <f t="shared" si="19"/>
        <v>0</v>
      </c>
      <c r="AD12" s="420">
        <f t="shared" si="20"/>
        <v>0</v>
      </c>
      <c r="AE12" s="420">
        <f t="shared" si="21"/>
        <v>0</v>
      </c>
      <c r="AF12" s="421">
        <f t="shared" si="22"/>
        <v>0</v>
      </c>
      <c r="AG12" s="420">
        <f t="shared" si="23"/>
        <v>0</v>
      </c>
      <c r="AH12" s="421">
        <f t="shared" si="24"/>
        <v>0</v>
      </c>
      <c r="AI12" s="420">
        <f t="shared" si="25"/>
        <v>0</v>
      </c>
      <c r="AJ12" s="422">
        <f>IF((D12&lt;&gt;""),VLOOKUP(D12,Données!$E$36:$H$59,4,FALSE),)</f>
        <v>0</v>
      </c>
      <c r="AK12" s="422">
        <f t="shared" si="26"/>
        <v>0</v>
      </c>
      <c r="AL12" s="423">
        <f t="shared" si="27"/>
        <v>0</v>
      </c>
      <c r="AM12" s="424">
        <f t="shared" si="28"/>
        <v>0</v>
      </c>
      <c r="AN12" s="425">
        <f t="shared" si="12"/>
        <v>0</v>
      </c>
      <c r="AO12" s="422">
        <f t="shared" si="13"/>
        <v>0</v>
      </c>
      <c r="AP12" s="426">
        <f t="shared" si="29"/>
        <v>0</v>
      </c>
      <c r="AQ12" s="426">
        <f t="shared" si="30"/>
        <v>0</v>
      </c>
      <c r="AR12" s="426">
        <f t="shared" si="31"/>
        <v>0</v>
      </c>
      <c r="AS12" s="426">
        <f t="shared" si="32"/>
        <v>0</v>
      </c>
      <c r="AT12" s="424">
        <f t="shared" si="14"/>
        <v>0</v>
      </c>
      <c r="AU12" s="424">
        <f t="shared" si="15"/>
        <v>0</v>
      </c>
      <c r="AV12" s="402">
        <f>IF(Données!$H$8="x",AW12,AX12)</f>
        <v>1.2666666666666666</v>
      </c>
      <c r="AW12" s="402">
        <f t="shared" si="1"/>
        <v>0.6333333333333333</v>
      </c>
      <c r="AX12" s="402">
        <f>AX11</f>
        <v>1.2666666666666666</v>
      </c>
      <c r="AY12" s="403" t="str">
        <f t="shared" si="17"/>
        <v>Di</v>
      </c>
      <c r="AZ12" s="423">
        <f>IF((S40="B3")*AND(S41&lt;&gt;""),VLOOKUP(S41,Échelle!$AF$5:$AG$31,2),)</f>
        <v>0</v>
      </c>
      <c r="BA12" s="424" t="s">
        <v>5</v>
      </c>
      <c r="BB12" s="148"/>
    </row>
    <row r="13" spans="2:54" x14ac:dyDescent="0.2">
      <c r="B13" s="467" t="s">
        <v>188</v>
      </c>
      <c r="C13" s="468" t="s">
        <v>315</v>
      </c>
      <c r="D13" s="469"/>
      <c r="E13" s="469"/>
      <c r="F13" s="470"/>
      <c r="G13" s="470"/>
      <c r="H13" s="470"/>
      <c r="I13" s="470"/>
      <c r="J13" s="470"/>
      <c r="K13" s="470"/>
      <c r="L13" s="471">
        <f>(G13-F13)+(I13-H13)+(K13-J13)+AJ13+AO13</f>
        <v>0</v>
      </c>
      <c r="M13" s="471">
        <f t="shared" si="2"/>
        <v>0</v>
      </c>
      <c r="N13" s="471">
        <f>IF(Fév!$H$46="x",AV13+Fév!$N$34,AV13)</f>
        <v>1.5833333333333333</v>
      </c>
      <c r="O13" s="483" t="str">
        <f t="shared" si="3"/>
        <v>-</v>
      </c>
      <c r="P13" s="473">
        <f t="shared" si="4"/>
        <v>1.5833333333333333</v>
      </c>
      <c r="Q13" s="474">
        <f t="shared" si="5"/>
        <v>0</v>
      </c>
      <c r="R13" s="474">
        <f t="shared" si="6"/>
        <v>0</v>
      </c>
      <c r="S13" s="474">
        <f t="shared" si="7"/>
        <v>0</v>
      </c>
      <c r="T13" s="474">
        <f t="shared" si="8"/>
        <v>0</v>
      </c>
      <c r="U13" s="471">
        <f t="shared" si="9"/>
        <v>0</v>
      </c>
      <c r="V13" s="471">
        <f t="shared" ref="V13:V17" si="33">IF(D13="F",L13,0)</f>
        <v>0</v>
      </c>
      <c r="W13" s="471">
        <f t="shared" si="10"/>
        <v>0</v>
      </c>
      <c r="X13" s="471">
        <f t="shared" si="11"/>
        <v>0</v>
      </c>
      <c r="Y13" s="484"/>
      <c r="Z13" s="470"/>
      <c r="AA13" s="470"/>
      <c r="AB13" s="475">
        <f t="shared" si="18"/>
        <v>0</v>
      </c>
      <c r="AC13" s="475">
        <f t="shared" si="19"/>
        <v>0</v>
      </c>
      <c r="AD13" s="475">
        <f t="shared" si="20"/>
        <v>0</v>
      </c>
      <c r="AE13" s="475">
        <f t="shared" si="21"/>
        <v>0</v>
      </c>
      <c r="AF13" s="476">
        <f t="shared" si="22"/>
        <v>0</v>
      </c>
      <c r="AG13" s="475">
        <f t="shared" si="23"/>
        <v>0</v>
      </c>
      <c r="AH13" s="476">
        <f t="shared" si="24"/>
        <v>0</v>
      </c>
      <c r="AI13" s="475">
        <f t="shared" si="25"/>
        <v>0</v>
      </c>
      <c r="AJ13" s="477">
        <f>IF((D13&lt;&gt;""),VLOOKUP(D13,Données!$E$36:$H$59,4,FALSE),)</f>
        <v>0</v>
      </c>
      <c r="AK13" s="477">
        <f t="shared" si="26"/>
        <v>0</v>
      </c>
      <c r="AL13" s="478">
        <f t="shared" si="27"/>
        <v>0</v>
      </c>
      <c r="AM13" s="479">
        <f t="shared" si="28"/>
        <v>0</v>
      </c>
      <c r="AN13" s="480">
        <f t="shared" si="12"/>
        <v>0</v>
      </c>
      <c r="AO13" s="477">
        <f t="shared" si="13"/>
        <v>0</v>
      </c>
      <c r="AP13" s="481">
        <f t="shared" si="29"/>
        <v>0</v>
      </c>
      <c r="AQ13" s="481">
        <f t="shared" si="30"/>
        <v>0</v>
      </c>
      <c r="AR13" s="481">
        <f t="shared" si="31"/>
        <v>0</v>
      </c>
      <c r="AS13" s="481">
        <f t="shared" si="32"/>
        <v>0</v>
      </c>
      <c r="AT13" s="479">
        <f t="shared" si="14"/>
        <v>0</v>
      </c>
      <c r="AU13" s="479">
        <f t="shared" si="15"/>
        <v>0</v>
      </c>
      <c r="AV13" s="471">
        <f>IF(Données!$H$8="x",AW13,AX13)</f>
        <v>1.5833333333333333</v>
      </c>
      <c r="AW13" s="471">
        <f t="shared" si="1"/>
        <v>0.79166666666666663</v>
      </c>
      <c r="AX13" s="471">
        <f t="shared" ref="AX13:AX17" si="34">IF(D13="L",AX12,(AX12+"07:36"))</f>
        <v>1.5833333333333333</v>
      </c>
      <c r="AY13" s="467" t="str">
        <f t="shared" si="17"/>
        <v>Lu</v>
      </c>
      <c r="AZ13" s="7">
        <f>IF((S40="B4")*AND(S41&lt;&gt;""),VLOOKUP(S41,Échelle!$AI$5:$AJ$34,2),)</f>
        <v>24661</v>
      </c>
      <c r="BA13" s="4" t="s">
        <v>6</v>
      </c>
      <c r="BB13" s="148"/>
    </row>
    <row r="14" spans="2:54" x14ac:dyDescent="0.2">
      <c r="B14" s="467" t="s">
        <v>176</v>
      </c>
      <c r="C14" s="468" t="s">
        <v>316</v>
      </c>
      <c r="D14" s="469"/>
      <c r="E14" s="469"/>
      <c r="F14" s="470"/>
      <c r="G14" s="470"/>
      <c r="H14" s="470"/>
      <c r="I14" s="470"/>
      <c r="J14" s="470"/>
      <c r="K14" s="470"/>
      <c r="L14" s="471">
        <f>(G14-F14)+(I14-H14)+(K14-J14)+AJ14+AO14</f>
        <v>0</v>
      </c>
      <c r="M14" s="471">
        <f t="shared" si="2"/>
        <v>0</v>
      </c>
      <c r="N14" s="471">
        <f>IF(Fév!$H$46="x",AV14+Fév!$N$34,AV14)</f>
        <v>1.9</v>
      </c>
      <c r="O14" s="483" t="str">
        <f t="shared" si="3"/>
        <v>-</v>
      </c>
      <c r="P14" s="473">
        <f t="shared" si="4"/>
        <v>1.9</v>
      </c>
      <c r="Q14" s="474">
        <f t="shared" si="5"/>
        <v>0</v>
      </c>
      <c r="R14" s="474">
        <f t="shared" si="6"/>
        <v>0</v>
      </c>
      <c r="S14" s="474">
        <f t="shared" si="7"/>
        <v>0</v>
      </c>
      <c r="T14" s="474">
        <f t="shared" si="8"/>
        <v>0</v>
      </c>
      <c r="U14" s="471">
        <f t="shared" si="9"/>
        <v>0</v>
      </c>
      <c r="V14" s="471">
        <f t="shared" si="33"/>
        <v>0</v>
      </c>
      <c r="W14" s="471">
        <f t="shared" si="10"/>
        <v>0</v>
      </c>
      <c r="X14" s="471">
        <f t="shared" si="11"/>
        <v>0</v>
      </c>
      <c r="Y14" s="484"/>
      <c r="Z14" s="470"/>
      <c r="AA14" s="470"/>
      <c r="AB14" s="475">
        <f t="shared" si="18"/>
        <v>0</v>
      </c>
      <c r="AC14" s="475">
        <f t="shared" si="19"/>
        <v>0</v>
      </c>
      <c r="AD14" s="475">
        <f t="shared" si="20"/>
        <v>0</v>
      </c>
      <c r="AE14" s="475">
        <f t="shared" si="21"/>
        <v>0</v>
      </c>
      <c r="AF14" s="476">
        <f t="shared" si="22"/>
        <v>0</v>
      </c>
      <c r="AG14" s="475">
        <f t="shared" si="23"/>
        <v>0</v>
      </c>
      <c r="AH14" s="476">
        <f t="shared" si="24"/>
        <v>0</v>
      </c>
      <c r="AI14" s="475">
        <f t="shared" si="25"/>
        <v>0</v>
      </c>
      <c r="AJ14" s="477">
        <f>IF((D14&lt;&gt;""),VLOOKUP(D14,Données!$E$36:$H$59,4,FALSE),)</f>
        <v>0</v>
      </c>
      <c r="AK14" s="477">
        <f t="shared" si="26"/>
        <v>0</v>
      </c>
      <c r="AL14" s="478">
        <f t="shared" si="27"/>
        <v>0</v>
      </c>
      <c r="AM14" s="479">
        <f t="shared" si="28"/>
        <v>0</v>
      </c>
      <c r="AN14" s="480">
        <f t="shared" si="12"/>
        <v>0</v>
      </c>
      <c r="AO14" s="477">
        <f t="shared" si="13"/>
        <v>0</v>
      </c>
      <c r="AP14" s="481">
        <f t="shared" si="29"/>
        <v>0</v>
      </c>
      <c r="AQ14" s="481">
        <f t="shared" si="30"/>
        <v>0</v>
      </c>
      <c r="AR14" s="481">
        <f t="shared" si="31"/>
        <v>0</v>
      </c>
      <c r="AS14" s="481">
        <f t="shared" si="32"/>
        <v>0</v>
      </c>
      <c r="AT14" s="479">
        <f t="shared" si="14"/>
        <v>0</v>
      </c>
      <c r="AU14" s="479">
        <f t="shared" si="15"/>
        <v>0</v>
      </c>
      <c r="AV14" s="471">
        <f>IF(Données!$H$8="x",AW14,AX14)</f>
        <v>1.9</v>
      </c>
      <c r="AW14" s="471">
        <f t="shared" si="1"/>
        <v>0.95</v>
      </c>
      <c r="AX14" s="471">
        <f t="shared" si="34"/>
        <v>1.9</v>
      </c>
      <c r="AY14" s="467" t="str">
        <f t="shared" si="17"/>
        <v>Ma</v>
      </c>
      <c r="AZ14" s="7">
        <f>IF((S40="B5")*AND(S41&lt;&gt;""),VLOOKUP(S41,Échelle!$AL$5:$AM$34,2),)</f>
        <v>0</v>
      </c>
      <c r="BA14" s="4" t="s">
        <v>7</v>
      </c>
      <c r="BB14" s="148"/>
    </row>
    <row r="15" spans="2:54" x14ac:dyDescent="0.2">
      <c r="B15" s="467" t="s">
        <v>178</v>
      </c>
      <c r="C15" s="468" t="s">
        <v>317</v>
      </c>
      <c r="D15" s="469"/>
      <c r="E15" s="469"/>
      <c r="F15" s="470"/>
      <c r="G15" s="470"/>
      <c r="H15" s="470"/>
      <c r="I15" s="470"/>
      <c r="J15" s="470"/>
      <c r="K15" s="470"/>
      <c r="L15" s="471">
        <f>(G15-F15)+(I15-H15)+(K15-J15)+AJ15+AO15</f>
        <v>0</v>
      </c>
      <c r="M15" s="471">
        <f t="shared" si="2"/>
        <v>0</v>
      </c>
      <c r="N15" s="471">
        <f>IF(Fév!$H$46="x",AV15+Fév!$N$34,AV15)</f>
        <v>2.2166666666666668</v>
      </c>
      <c r="O15" s="483" t="str">
        <f t="shared" si="3"/>
        <v>-</v>
      </c>
      <c r="P15" s="473">
        <f t="shared" si="4"/>
        <v>2.2166666666666668</v>
      </c>
      <c r="Q15" s="474">
        <f t="shared" si="5"/>
        <v>0</v>
      </c>
      <c r="R15" s="474">
        <f t="shared" si="6"/>
        <v>0</v>
      </c>
      <c r="S15" s="474">
        <f t="shared" si="7"/>
        <v>0</v>
      </c>
      <c r="T15" s="474">
        <f t="shared" si="8"/>
        <v>0</v>
      </c>
      <c r="U15" s="471">
        <f t="shared" si="9"/>
        <v>0</v>
      </c>
      <c r="V15" s="471">
        <f t="shared" si="33"/>
        <v>0</v>
      </c>
      <c r="W15" s="471">
        <f t="shared" si="10"/>
        <v>0</v>
      </c>
      <c r="X15" s="471">
        <f t="shared" si="11"/>
        <v>0</v>
      </c>
      <c r="Y15" s="484"/>
      <c r="Z15" s="470"/>
      <c r="AA15" s="470"/>
      <c r="AB15" s="475">
        <f t="shared" si="18"/>
        <v>0</v>
      </c>
      <c r="AC15" s="475">
        <f t="shared" si="19"/>
        <v>0</v>
      </c>
      <c r="AD15" s="475">
        <f t="shared" si="20"/>
        <v>0</v>
      </c>
      <c r="AE15" s="475">
        <f t="shared" si="21"/>
        <v>0</v>
      </c>
      <c r="AF15" s="476">
        <f t="shared" si="22"/>
        <v>0</v>
      </c>
      <c r="AG15" s="475">
        <f t="shared" si="23"/>
        <v>0</v>
      </c>
      <c r="AH15" s="476">
        <f t="shared" si="24"/>
        <v>0</v>
      </c>
      <c r="AI15" s="475">
        <f t="shared" si="25"/>
        <v>0</v>
      </c>
      <c r="AJ15" s="477">
        <f>IF((D15&lt;&gt;""),VLOOKUP(D15,Données!$E$36:$H$59,4,FALSE),)</f>
        <v>0</v>
      </c>
      <c r="AK15" s="477">
        <f t="shared" si="26"/>
        <v>0</v>
      </c>
      <c r="AL15" s="478">
        <f t="shared" si="27"/>
        <v>0</v>
      </c>
      <c r="AM15" s="479">
        <f t="shared" si="28"/>
        <v>0</v>
      </c>
      <c r="AN15" s="480">
        <f t="shared" si="12"/>
        <v>0</v>
      </c>
      <c r="AO15" s="477">
        <f t="shared" si="13"/>
        <v>0</v>
      </c>
      <c r="AP15" s="481">
        <f t="shared" si="29"/>
        <v>0</v>
      </c>
      <c r="AQ15" s="481">
        <f t="shared" si="30"/>
        <v>0</v>
      </c>
      <c r="AR15" s="481">
        <f t="shared" si="31"/>
        <v>0</v>
      </c>
      <c r="AS15" s="481">
        <f t="shared" si="32"/>
        <v>0</v>
      </c>
      <c r="AT15" s="479">
        <f t="shared" si="14"/>
        <v>0</v>
      </c>
      <c r="AU15" s="479">
        <f t="shared" si="15"/>
        <v>0</v>
      </c>
      <c r="AV15" s="471">
        <f>IF(Données!$H$8="x",AW15,AX15)</f>
        <v>2.2166666666666668</v>
      </c>
      <c r="AW15" s="471">
        <f t="shared" si="1"/>
        <v>1.1083333333333334</v>
      </c>
      <c r="AX15" s="471">
        <f t="shared" si="34"/>
        <v>2.2166666666666668</v>
      </c>
      <c r="AY15" s="467" t="str">
        <f t="shared" si="17"/>
        <v>Me</v>
      </c>
      <c r="AZ15" s="7">
        <f>IF((S40="M1.1")*AND(S41&lt;&gt;""),VLOOKUP(S41,Échelle!$AO$5:$AP$31,2),)</f>
        <v>0</v>
      </c>
      <c r="BA15" s="4" t="s">
        <v>8</v>
      </c>
      <c r="BB15" s="148"/>
    </row>
    <row r="16" spans="2:54" x14ac:dyDescent="0.2">
      <c r="B16" s="467" t="s">
        <v>180</v>
      </c>
      <c r="C16" s="468" t="s">
        <v>318</v>
      </c>
      <c r="D16" s="469"/>
      <c r="E16" s="469"/>
      <c r="F16" s="470"/>
      <c r="G16" s="470"/>
      <c r="H16" s="470"/>
      <c r="I16" s="470"/>
      <c r="J16" s="470"/>
      <c r="K16" s="470"/>
      <c r="L16" s="471">
        <f>(G16-F16)+(I16-H16)+(K16-J16)+AJ16+AO16</f>
        <v>0</v>
      </c>
      <c r="M16" s="471">
        <f t="shared" si="2"/>
        <v>0</v>
      </c>
      <c r="N16" s="471">
        <f>IF(Fév!$H$46="x",AV16+Fév!$N$34,AV16)</f>
        <v>2.5333333333333332</v>
      </c>
      <c r="O16" s="483" t="str">
        <f t="shared" si="3"/>
        <v>-</v>
      </c>
      <c r="P16" s="473">
        <f t="shared" si="4"/>
        <v>2.5333333333333332</v>
      </c>
      <c r="Q16" s="474">
        <f t="shared" si="5"/>
        <v>0</v>
      </c>
      <c r="R16" s="474">
        <f t="shared" si="6"/>
        <v>0</v>
      </c>
      <c r="S16" s="474">
        <f t="shared" si="7"/>
        <v>0</v>
      </c>
      <c r="T16" s="474">
        <f t="shared" si="8"/>
        <v>0</v>
      </c>
      <c r="U16" s="471">
        <f t="shared" si="9"/>
        <v>0</v>
      </c>
      <c r="V16" s="471">
        <f t="shared" si="33"/>
        <v>0</v>
      </c>
      <c r="W16" s="471">
        <f t="shared" si="10"/>
        <v>0</v>
      </c>
      <c r="X16" s="471">
        <f t="shared" si="11"/>
        <v>0</v>
      </c>
      <c r="Y16" s="484"/>
      <c r="Z16" s="470"/>
      <c r="AA16" s="470"/>
      <c r="AB16" s="475">
        <f t="shared" si="18"/>
        <v>0</v>
      </c>
      <c r="AC16" s="475">
        <f t="shared" si="19"/>
        <v>0</v>
      </c>
      <c r="AD16" s="475">
        <f t="shared" si="20"/>
        <v>0</v>
      </c>
      <c r="AE16" s="475">
        <f t="shared" si="21"/>
        <v>0</v>
      </c>
      <c r="AF16" s="476">
        <f t="shared" si="22"/>
        <v>0</v>
      </c>
      <c r="AG16" s="475">
        <f t="shared" si="23"/>
        <v>0</v>
      </c>
      <c r="AH16" s="476">
        <f t="shared" si="24"/>
        <v>0</v>
      </c>
      <c r="AI16" s="475">
        <f t="shared" si="25"/>
        <v>0</v>
      </c>
      <c r="AJ16" s="477">
        <f>IF((D16&lt;&gt;""),VLOOKUP(D16,Données!$E$36:$H$59,4,FALSE),)</f>
        <v>0</v>
      </c>
      <c r="AK16" s="477">
        <f t="shared" si="26"/>
        <v>0</v>
      </c>
      <c r="AL16" s="478">
        <f t="shared" si="27"/>
        <v>0</v>
      </c>
      <c r="AM16" s="479">
        <f t="shared" si="28"/>
        <v>0</v>
      </c>
      <c r="AN16" s="480">
        <f t="shared" si="12"/>
        <v>0</v>
      </c>
      <c r="AO16" s="477">
        <f t="shared" si="13"/>
        <v>0</v>
      </c>
      <c r="AP16" s="481">
        <f t="shared" si="29"/>
        <v>0</v>
      </c>
      <c r="AQ16" s="481">
        <f t="shared" si="30"/>
        <v>0</v>
      </c>
      <c r="AR16" s="481">
        <f t="shared" si="31"/>
        <v>0</v>
      </c>
      <c r="AS16" s="481">
        <f t="shared" si="32"/>
        <v>0</v>
      </c>
      <c r="AT16" s="479">
        <f t="shared" si="14"/>
        <v>0</v>
      </c>
      <c r="AU16" s="479">
        <f t="shared" si="15"/>
        <v>0</v>
      </c>
      <c r="AV16" s="471">
        <f>IF(Données!$H$8="x",AW16,AX16)</f>
        <v>2.5333333333333332</v>
      </c>
      <c r="AW16" s="471">
        <f t="shared" si="1"/>
        <v>1.2666666666666666</v>
      </c>
      <c r="AX16" s="471">
        <f t="shared" si="34"/>
        <v>2.5333333333333332</v>
      </c>
      <c r="AY16" s="467" t="str">
        <f t="shared" si="17"/>
        <v>Je</v>
      </c>
      <c r="AZ16" s="7">
        <f>IF((S40="M1.2")*AND(S41&lt;&gt;""),VLOOKUP(S41,Échelle!$AR$5:$AS$31,2),)</f>
        <v>0</v>
      </c>
      <c r="BA16" s="4" t="s">
        <v>9</v>
      </c>
      <c r="BB16" s="148"/>
    </row>
    <row r="17" spans="2:54" x14ac:dyDescent="0.2">
      <c r="B17" s="467" t="s">
        <v>182</v>
      </c>
      <c r="C17" s="468" t="s">
        <v>319</v>
      </c>
      <c r="D17" s="469"/>
      <c r="E17" s="469"/>
      <c r="F17" s="470"/>
      <c r="G17" s="470"/>
      <c r="H17" s="470"/>
      <c r="I17" s="470"/>
      <c r="J17" s="470"/>
      <c r="K17" s="470"/>
      <c r="L17" s="471">
        <f>(G17-F17)+(I17-H17)+(K17-J17)+AJ17+AO17</f>
        <v>0</v>
      </c>
      <c r="M17" s="471">
        <f>M16+L17</f>
        <v>0</v>
      </c>
      <c r="N17" s="471">
        <f>IF(Fév!$H$46="x",AV17+Fév!$N$34,AV17)</f>
        <v>2.8499999999999996</v>
      </c>
      <c r="O17" s="483" t="str">
        <f t="shared" si="3"/>
        <v>-</v>
      </c>
      <c r="P17" s="473">
        <f t="shared" si="4"/>
        <v>2.8499999999999996</v>
      </c>
      <c r="Q17" s="474">
        <f t="shared" si="5"/>
        <v>0</v>
      </c>
      <c r="R17" s="474">
        <f t="shared" si="6"/>
        <v>0</v>
      </c>
      <c r="S17" s="474">
        <f t="shared" si="7"/>
        <v>0</v>
      </c>
      <c r="T17" s="474">
        <f t="shared" si="8"/>
        <v>0</v>
      </c>
      <c r="U17" s="471">
        <f t="shared" si="9"/>
        <v>0</v>
      </c>
      <c r="V17" s="471">
        <f t="shared" si="33"/>
        <v>0</v>
      </c>
      <c r="W17" s="471">
        <f t="shared" si="10"/>
        <v>0</v>
      </c>
      <c r="X17" s="471">
        <f t="shared" si="11"/>
        <v>0</v>
      </c>
      <c r="Y17" s="484"/>
      <c r="Z17" s="470"/>
      <c r="AA17" s="470"/>
      <c r="AB17" s="475">
        <f t="shared" si="18"/>
        <v>0</v>
      </c>
      <c r="AC17" s="475">
        <f t="shared" si="19"/>
        <v>0</v>
      </c>
      <c r="AD17" s="475">
        <f t="shared" si="20"/>
        <v>0</v>
      </c>
      <c r="AE17" s="475">
        <f t="shared" si="21"/>
        <v>0</v>
      </c>
      <c r="AF17" s="476">
        <f t="shared" si="22"/>
        <v>0</v>
      </c>
      <c r="AG17" s="475">
        <f t="shared" si="23"/>
        <v>0</v>
      </c>
      <c r="AH17" s="476">
        <f t="shared" si="24"/>
        <v>0</v>
      </c>
      <c r="AI17" s="475">
        <f t="shared" si="25"/>
        <v>0</v>
      </c>
      <c r="AJ17" s="477">
        <f>IF((D17&lt;&gt;""),VLOOKUP(D17,Données!$E$36:$H$59,4,FALSE),)</f>
        <v>0</v>
      </c>
      <c r="AK17" s="477">
        <f t="shared" si="26"/>
        <v>0</v>
      </c>
      <c r="AL17" s="478">
        <f t="shared" si="27"/>
        <v>0</v>
      </c>
      <c r="AM17" s="479">
        <f t="shared" si="28"/>
        <v>0</v>
      </c>
      <c r="AN17" s="480">
        <f t="shared" si="12"/>
        <v>0</v>
      </c>
      <c r="AO17" s="477">
        <f t="shared" si="13"/>
        <v>0</v>
      </c>
      <c r="AP17" s="481">
        <f t="shared" si="29"/>
        <v>0</v>
      </c>
      <c r="AQ17" s="481">
        <f t="shared" si="30"/>
        <v>0</v>
      </c>
      <c r="AR17" s="481">
        <f t="shared" si="31"/>
        <v>0</v>
      </c>
      <c r="AS17" s="481">
        <f t="shared" si="32"/>
        <v>0</v>
      </c>
      <c r="AT17" s="479">
        <f t="shared" si="14"/>
        <v>0</v>
      </c>
      <c r="AU17" s="479">
        <f t="shared" si="15"/>
        <v>0</v>
      </c>
      <c r="AV17" s="471">
        <f>IF(Données!$H$8="x",AW17,AX17)</f>
        <v>2.8499999999999996</v>
      </c>
      <c r="AW17" s="471">
        <f t="shared" si="1"/>
        <v>1.4249999999999998</v>
      </c>
      <c r="AX17" s="471">
        <f t="shared" si="34"/>
        <v>2.8499999999999996</v>
      </c>
      <c r="AY17" s="467" t="str">
        <f t="shared" si="17"/>
        <v>Ve</v>
      </c>
      <c r="AZ17" s="7">
        <f>IF((S40="M2.1")*AND(S41&lt;&gt;""),VLOOKUP(S41,Échelle!$AU$5:$AV$31,2),)</f>
        <v>0</v>
      </c>
      <c r="BA17" s="4" t="s">
        <v>10</v>
      </c>
      <c r="BB17" s="148"/>
    </row>
    <row r="18" spans="2:54" x14ac:dyDescent="0.2">
      <c r="B18" s="403" t="s">
        <v>184</v>
      </c>
      <c r="C18" s="412" t="s">
        <v>320</v>
      </c>
      <c r="D18" s="411"/>
      <c r="E18" s="411"/>
      <c r="F18" s="401"/>
      <c r="G18" s="401"/>
      <c r="H18" s="401"/>
      <c r="I18" s="401"/>
      <c r="J18" s="401"/>
      <c r="K18" s="401"/>
      <c r="L18" s="402">
        <f>(G18-F18)+(I18-H18)+(K18-J18)</f>
        <v>0</v>
      </c>
      <c r="M18" s="402">
        <f>M17+L18</f>
        <v>0</v>
      </c>
      <c r="N18" s="402">
        <f>IF(Fév!$H$46="x",AV18+Fév!$N$34,AV18)</f>
        <v>2.8499999999999996</v>
      </c>
      <c r="O18" s="408" t="str">
        <f t="shared" si="3"/>
        <v>-</v>
      </c>
      <c r="P18" s="413">
        <f t="shared" si="4"/>
        <v>2.8499999999999996</v>
      </c>
      <c r="Q18" s="410">
        <f t="shared" si="5"/>
        <v>0</v>
      </c>
      <c r="R18" s="410">
        <f t="shared" si="6"/>
        <v>0</v>
      </c>
      <c r="S18" s="410">
        <f t="shared" si="7"/>
        <v>0</v>
      </c>
      <c r="T18" s="410">
        <f t="shared" si="8"/>
        <v>0</v>
      </c>
      <c r="U18" s="402">
        <f t="shared" si="9"/>
        <v>0</v>
      </c>
      <c r="V18" s="402">
        <f>L18</f>
        <v>0</v>
      </c>
      <c r="W18" s="402">
        <f t="shared" si="10"/>
        <v>0</v>
      </c>
      <c r="X18" s="402">
        <f t="shared" si="11"/>
        <v>0</v>
      </c>
      <c r="Y18" s="427"/>
      <c r="Z18" s="401"/>
      <c r="AA18" s="401"/>
      <c r="AB18" s="420">
        <f t="shared" si="18"/>
        <v>0</v>
      </c>
      <c r="AC18" s="420">
        <f t="shared" si="19"/>
        <v>0</v>
      </c>
      <c r="AD18" s="420">
        <f t="shared" si="20"/>
        <v>0</v>
      </c>
      <c r="AE18" s="420">
        <f t="shared" si="21"/>
        <v>0</v>
      </c>
      <c r="AF18" s="421">
        <f t="shared" si="22"/>
        <v>0</v>
      </c>
      <c r="AG18" s="420">
        <f t="shared" si="23"/>
        <v>0</v>
      </c>
      <c r="AH18" s="421">
        <f t="shared" si="24"/>
        <v>0</v>
      </c>
      <c r="AI18" s="420">
        <f t="shared" si="25"/>
        <v>0</v>
      </c>
      <c r="AJ18" s="422">
        <f>IF((D18&lt;&gt;""),VLOOKUP(D18,Données!$E$36:$H$59,4,FALSE),)</f>
        <v>0</v>
      </c>
      <c r="AK18" s="422">
        <f t="shared" si="26"/>
        <v>0</v>
      </c>
      <c r="AL18" s="423">
        <f t="shared" si="27"/>
        <v>0</v>
      </c>
      <c r="AM18" s="424">
        <f t="shared" si="28"/>
        <v>0</v>
      </c>
      <c r="AN18" s="425">
        <f t="shared" si="12"/>
        <v>0</v>
      </c>
      <c r="AO18" s="422">
        <f t="shared" si="13"/>
        <v>0</v>
      </c>
      <c r="AP18" s="426">
        <f t="shared" si="29"/>
        <v>0</v>
      </c>
      <c r="AQ18" s="426">
        <f t="shared" si="30"/>
        <v>0</v>
      </c>
      <c r="AR18" s="426">
        <f t="shared" si="31"/>
        <v>0</v>
      </c>
      <c r="AS18" s="426">
        <f t="shared" si="32"/>
        <v>0</v>
      </c>
      <c r="AT18" s="424">
        <f t="shared" si="14"/>
        <v>0</v>
      </c>
      <c r="AU18" s="424">
        <f t="shared" si="15"/>
        <v>0</v>
      </c>
      <c r="AV18" s="402">
        <f>IF(Données!$H$8="x",AW18,AX18)</f>
        <v>2.8499999999999996</v>
      </c>
      <c r="AW18" s="402">
        <f t="shared" si="1"/>
        <v>1.4249999999999998</v>
      </c>
      <c r="AX18" s="402">
        <f>AX17</f>
        <v>2.8499999999999996</v>
      </c>
      <c r="AY18" s="403" t="str">
        <f t="shared" si="17"/>
        <v>Sa</v>
      </c>
      <c r="AZ18" s="423">
        <f>IF((S40="M2.2")*AND(S41&lt;&gt;""),VLOOKUP(S41,Échelle!$AX$5:$AY$31,2),)</f>
        <v>0</v>
      </c>
      <c r="BA18" s="424" t="s">
        <v>11</v>
      </c>
      <c r="BB18" s="148"/>
    </row>
    <row r="19" spans="2:54" x14ac:dyDescent="0.2">
      <c r="B19" s="403" t="s">
        <v>186</v>
      </c>
      <c r="C19" s="412" t="s">
        <v>321</v>
      </c>
      <c r="D19" s="411"/>
      <c r="E19" s="411"/>
      <c r="F19" s="401"/>
      <c r="G19" s="401"/>
      <c r="H19" s="401"/>
      <c r="I19" s="401"/>
      <c r="J19" s="401"/>
      <c r="K19" s="401"/>
      <c r="L19" s="402">
        <f>(G19-F19)+(I19-H19)+(K19-J19)</f>
        <v>0</v>
      </c>
      <c r="M19" s="402">
        <f t="shared" si="2"/>
        <v>0</v>
      </c>
      <c r="N19" s="402">
        <f>IF(Fév!$H$46="x",AV19+Fév!$N$34,AV19)</f>
        <v>2.8499999999999996</v>
      </c>
      <c r="O19" s="408" t="str">
        <f t="shared" si="3"/>
        <v>-</v>
      </c>
      <c r="P19" s="413">
        <f t="shared" si="4"/>
        <v>2.8499999999999996</v>
      </c>
      <c r="Q19" s="410">
        <f t="shared" si="5"/>
        <v>0</v>
      </c>
      <c r="R19" s="410">
        <f t="shared" si="6"/>
        <v>0</v>
      </c>
      <c r="S19" s="410">
        <f t="shared" si="7"/>
        <v>0</v>
      </c>
      <c r="T19" s="410">
        <f t="shared" si="8"/>
        <v>0</v>
      </c>
      <c r="U19" s="402">
        <f t="shared" si="9"/>
        <v>0</v>
      </c>
      <c r="V19" s="402">
        <f>L19</f>
        <v>0</v>
      </c>
      <c r="W19" s="402">
        <f t="shared" si="10"/>
        <v>0</v>
      </c>
      <c r="X19" s="402">
        <f t="shared" si="11"/>
        <v>0</v>
      </c>
      <c r="Y19" s="427"/>
      <c r="Z19" s="401"/>
      <c r="AA19" s="401"/>
      <c r="AB19" s="420">
        <f t="shared" si="18"/>
        <v>0</v>
      </c>
      <c r="AC19" s="420">
        <f t="shared" si="19"/>
        <v>0</v>
      </c>
      <c r="AD19" s="420">
        <f t="shared" si="20"/>
        <v>0</v>
      </c>
      <c r="AE19" s="420">
        <f t="shared" si="21"/>
        <v>0</v>
      </c>
      <c r="AF19" s="421">
        <f t="shared" si="22"/>
        <v>0</v>
      </c>
      <c r="AG19" s="420">
        <f t="shared" si="23"/>
        <v>0</v>
      </c>
      <c r="AH19" s="421">
        <f t="shared" si="24"/>
        <v>0</v>
      </c>
      <c r="AI19" s="420">
        <f t="shared" si="25"/>
        <v>0</v>
      </c>
      <c r="AJ19" s="422">
        <f>IF((D19&lt;&gt;""),VLOOKUP(D19,Données!$E$36:$H$59,4,FALSE),)</f>
        <v>0</v>
      </c>
      <c r="AK19" s="422">
        <f t="shared" si="26"/>
        <v>0</v>
      </c>
      <c r="AL19" s="423">
        <f t="shared" si="27"/>
        <v>0</v>
      </c>
      <c r="AM19" s="424">
        <f t="shared" si="28"/>
        <v>0</v>
      </c>
      <c r="AN19" s="425">
        <f t="shared" si="12"/>
        <v>0</v>
      </c>
      <c r="AO19" s="422">
        <f t="shared" si="13"/>
        <v>0</v>
      </c>
      <c r="AP19" s="426">
        <f t="shared" si="29"/>
        <v>0</v>
      </c>
      <c r="AQ19" s="426">
        <f t="shared" si="30"/>
        <v>0</v>
      </c>
      <c r="AR19" s="426">
        <f t="shared" si="31"/>
        <v>0</v>
      </c>
      <c r="AS19" s="426">
        <f t="shared" si="32"/>
        <v>0</v>
      </c>
      <c r="AT19" s="424">
        <f t="shared" si="14"/>
        <v>0</v>
      </c>
      <c r="AU19" s="424">
        <f t="shared" si="15"/>
        <v>0</v>
      </c>
      <c r="AV19" s="402">
        <f>IF(Données!$H$8="x",AW19,AX19)</f>
        <v>2.8499999999999996</v>
      </c>
      <c r="AW19" s="402">
        <f t="shared" si="1"/>
        <v>1.4249999999999998</v>
      </c>
      <c r="AX19" s="402">
        <f>AX18</f>
        <v>2.8499999999999996</v>
      </c>
      <c r="AY19" s="403" t="str">
        <f t="shared" si="17"/>
        <v>Di</v>
      </c>
      <c r="AZ19" s="423">
        <f>IF((S40="M3.1")*AND(S41&lt;&gt;""),VLOOKUP(S41,Échelle!$BA$5:$BB$31,2),)</f>
        <v>0</v>
      </c>
      <c r="BA19" s="424" t="s">
        <v>12</v>
      </c>
      <c r="BB19" s="148"/>
    </row>
    <row r="20" spans="2:54" x14ac:dyDescent="0.2">
      <c r="B20" s="467" t="s">
        <v>188</v>
      </c>
      <c r="C20" s="468" t="s">
        <v>322</v>
      </c>
      <c r="D20" s="469"/>
      <c r="E20" s="469"/>
      <c r="F20" s="470"/>
      <c r="G20" s="470"/>
      <c r="H20" s="470"/>
      <c r="I20" s="470"/>
      <c r="J20" s="470"/>
      <c r="K20" s="470"/>
      <c r="L20" s="471">
        <f>(G20-F20)+(I20-H20)+(K20-J20)+AJ20+AO20</f>
        <v>0</v>
      </c>
      <c r="M20" s="471">
        <f t="shared" si="2"/>
        <v>0</v>
      </c>
      <c r="N20" s="471">
        <f>IF(Fév!$H$46="x",AV20+Fév!$N$34,AV20)</f>
        <v>3.1666666666666661</v>
      </c>
      <c r="O20" s="483" t="str">
        <f t="shared" si="3"/>
        <v>-</v>
      </c>
      <c r="P20" s="473">
        <f t="shared" si="4"/>
        <v>3.1666666666666661</v>
      </c>
      <c r="Q20" s="474">
        <f t="shared" si="5"/>
        <v>0</v>
      </c>
      <c r="R20" s="474">
        <f t="shared" si="6"/>
        <v>0</v>
      </c>
      <c r="S20" s="474">
        <f t="shared" si="7"/>
        <v>0</v>
      </c>
      <c r="T20" s="474">
        <f t="shared" si="8"/>
        <v>0</v>
      </c>
      <c r="U20" s="471">
        <f t="shared" si="9"/>
        <v>0</v>
      </c>
      <c r="V20" s="471">
        <f t="shared" ref="V20:V24" si="35">IF(D20="F",L20,0)</f>
        <v>0</v>
      </c>
      <c r="W20" s="471">
        <f t="shared" si="10"/>
        <v>0</v>
      </c>
      <c r="X20" s="471">
        <f t="shared" si="11"/>
        <v>0</v>
      </c>
      <c r="Y20" s="484"/>
      <c r="Z20" s="470"/>
      <c r="AA20" s="470"/>
      <c r="AB20" s="475">
        <f t="shared" si="18"/>
        <v>0</v>
      </c>
      <c r="AC20" s="475">
        <f t="shared" si="19"/>
        <v>0</v>
      </c>
      <c r="AD20" s="475">
        <f t="shared" si="20"/>
        <v>0</v>
      </c>
      <c r="AE20" s="475">
        <f t="shared" si="21"/>
        <v>0</v>
      </c>
      <c r="AF20" s="476">
        <f t="shared" si="22"/>
        <v>0</v>
      </c>
      <c r="AG20" s="475">
        <f t="shared" si="23"/>
        <v>0</v>
      </c>
      <c r="AH20" s="476">
        <f t="shared" si="24"/>
        <v>0</v>
      </c>
      <c r="AI20" s="475">
        <f t="shared" si="25"/>
        <v>0</v>
      </c>
      <c r="AJ20" s="477">
        <f>IF((D20&lt;&gt;""),VLOOKUP(D20,Données!$E$36:$H$59,4,FALSE),)</f>
        <v>0</v>
      </c>
      <c r="AK20" s="477">
        <f t="shared" si="26"/>
        <v>0</v>
      </c>
      <c r="AL20" s="478">
        <f t="shared" si="27"/>
        <v>0</v>
      </c>
      <c r="AM20" s="479">
        <f t="shared" si="28"/>
        <v>0</v>
      </c>
      <c r="AN20" s="480">
        <f t="shared" si="12"/>
        <v>0</v>
      </c>
      <c r="AO20" s="477">
        <f t="shared" si="13"/>
        <v>0</v>
      </c>
      <c r="AP20" s="481">
        <f t="shared" si="29"/>
        <v>0</v>
      </c>
      <c r="AQ20" s="481">
        <f t="shared" si="30"/>
        <v>0</v>
      </c>
      <c r="AR20" s="481">
        <f t="shared" si="31"/>
        <v>0</v>
      </c>
      <c r="AS20" s="481">
        <f t="shared" si="32"/>
        <v>0</v>
      </c>
      <c r="AT20" s="479">
        <f t="shared" si="14"/>
        <v>0</v>
      </c>
      <c r="AU20" s="479">
        <f t="shared" si="15"/>
        <v>0</v>
      </c>
      <c r="AV20" s="471">
        <f>IF(Données!$H$8="x",AW20,AX20)</f>
        <v>3.1666666666666661</v>
      </c>
      <c r="AW20" s="471">
        <f t="shared" si="1"/>
        <v>1.583333333333333</v>
      </c>
      <c r="AX20" s="471">
        <f t="shared" ref="AX20:AX24" si="36">IF(D20="L",AX19,(AX19+"07:36"))</f>
        <v>3.1666666666666661</v>
      </c>
      <c r="AY20" s="467" t="str">
        <f t="shared" si="17"/>
        <v>Lu</v>
      </c>
      <c r="AZ20" s="7">
        <f>IF((S40="M3.2")*AND(S41&lt;&gt;""),VLOOKUP(S41,Échelle!$BD$5:$BE$31,2),)</f>
        <v>0</v>
      </c>
      <c r="BA20" s="4" t="s">
        <v>13</v>
      </c>
      <c r="BB20" s="148"/>
    </row>
    <row r="21" spans="2:54" x14ac:dyDescent="0.2">
      <c r="B21" s="467" t="s">
        <v>176</v>
      </c>
      <c r="C21" s="468" t="s">
        <v>323</v>
      </c>
      <c r="D21" s="469"/>
      <c r="E21" s="469"/>
      <c r="F21" s="470"/>
      <c r="G21" s="470"/>
      <c r="H21" s="470"/>
      <c r="I21" s="470"/>
      <c r="J21" s="470"/>
      <c r="K21" s="470"/>
      <c r="L21" s="471">
        <f>(G21-F21)+(I21-H21)+(K21-J21)+AJ21+AO21</f>
        <v>0</v>
      </c>
      <c r="M21" s="471">
        <f t="shared" si="2"/>
        <v>0</v>
      </c>
      <c r="N21" s="471">
        <f>IF(Fév!$H$46="x",AV21+Fév!$N$34,AV21)</f>
        <v>3.4833333333333325</v>
      </c>
      <c r="O21" s="483" t="str">
        <f t="shared" si="3"/>
        <v>-</v>
      </c>
      <c r="P21" s="473">
        <f t="shared" si="4"/>
        <v>3.4833333333333325</v>
      </c>
      <c r="Q21" s="474">
        <f t="shared" si="5"/>
        <v>0</v>
      </c>
      <c r="R21" s="474">
        <f t="shared" si="6"/>
        <v>0</v>
      </c>
      <c r="S21" s="474">
        <f t="shared" si="7"/>
        <v>0</v>
      </c>
      <c r="T21" s="474">
        <f t="shared" si="8"/>
        <v>0</v>
      </c>
      <c r="U21" s="471">
        <f t="shared" si="9"/>
        <v>0</v>
      </c>
      <c r="V21" s="471">
        <f t="shared" si="35"/>
        <v>0</v>
      </c>
      <c r="W21" s="471">
        <f t="shared" si="10"/>
        <v>0</v>
      </c>
      <c r="X21" s="471">
        <f t="shared" si="11"/>
        <v>0</v>
      </c>
      <c r="Y21" s="484"/>
      <c r="Z21" s="470"/>
      <c r="AA21" s="470"/>
      <c r="AB21" s="475">
        <f t="shared" si="18"/>
        <v>0</v>
      </c>
      <c r="AC21" s="475">
        <f t="shared" si="19"/>
        <v>0</v>
      </c>
      <c r="AD21" s="475">
        <f t="shared" si="20"/>
        <v>0</v>
      </c>
      <c r="AE21" s="475">
        <f t="shared" si="21"/>
        <v>0</v>
      </c>
      <c r="AF21" s="476">
        <f t="shared" si="22"/>
        <v>0</v>
      </c>
      <c r="AG21" s="475">
        <f t="shared" si="23"/>
        <v>0</v>
      </c>
      <c r="AH21" s="476">
        <f t="shared" si="24"/>
        <v>0</v>
      </c>
      <c r="AI21" s="475">
        <f t="shared" si="25"/>
        <v>0</v>
      </c>
      <c r="AJ21" s="477">
        <f>IF((D21&lt;&gt;""),VLOOKUP(D21,Données!$E$36:$H$59,4,FALSE),)</f>
        <v>0</v>
      </c>
      <c r="AK21" s="477">
        <f t="shared" si="26"/>
        <v>0</v>
      </c>
      <c r="AL21" s="478">
        <f t="shared" si="27"/>
        <v>0</v>
      </c>
      <c r="AM21" s="479">
        <f t="shared" si="28"/>
        <v>0</v>
      </c>
      <c r="AN21" s="480">
        <f t="shared" si="12"/>
        <v>0</v>
      </c>
      <c r="AO21" s="477">
        <f t="shared" si="13"/>
        <v>0</v>
      </c>
      <c r="AP21" s="481">
        <f t="shared" si="29"/>
        <v>0</v>
      </c>
      <c r="AQ21" s="481">
        <f t="shared" si="30"/>
        <v>0</v>
      </c>
      <c r="AR21" s="481">
        <f t="shared" si="31"/>
        <v>0</v>
      </c>
      <c r="AS21" s="481">
        <f t="shared" si="32"/>
        <v>0</v>
      </c>
      <c r="AT21" s="479">
        <f t="shared" si="14"/>
        <v>0</v>
      </c>
      <c r="AU21" s="479">
        <f t="shared" si="15"/>
        <v>0</v>
      </c>
      <c r="AV21" s="471">
        <f>IF(Données!$H$8="x",AW21,AX21)</f>
        <v>3.4833333333333325</v>
      </c>
      <c r="AW21" s="471">
        <f t="shared" si="1"/>
        <v>1.7416666666666663</v>
      </c>
      <c r="AX21" s="471">
        <f t="shared" si="36"/>
        <v>3.4833333333333325</v>
      </c>
      <c r="AY21" s="467" t="str">
        <f t="shared" si="17"/>
        <v>Ma</v>
      </c>
      <c r="AZ21" s="7">
        <f>IF((S40="M4.1")*AND(S41&lt;&gt;""),VLOOKUP(S41,Échelle!$BJ$39:$BK$68,2),)</f>
        <v>0</v>
      </c>
      <c r="BA21" s="4" t="s">
        <v>14</v>
      </c>
      <c r="BB21" s="148"/>
    </row>
    <row r="22" spans="2:54" x14ac:dyDescent="0.2">
      <c r="B22" s="467" t="s">
        <v>178</v>
      </c>
      <c r="C22" s="468" t="s">
        <v>324</v>
      </c>
      <c r="D22" s="469"/>
      <c r="E22" s="469"/>
      <c r="F22" s="470"/>
      <c r="G22" s="470"/>
      <c r="H22" s="470"/>
      <c r="I22" s="470"/>
      <c r="J22" s="470"/>
      <c r="K22" s="470"/>
      <c r="L22" s="471">
        <f>(G22-F22)+(I22-H22)+(K22-J22)+AJ22+AO22</f>
        <v>0</v>
      </c>
      <c r="M22" s="471">
        <f t="shared" si="2"/>
        <v>0</v>
      </c>
      <c r="N22" s="471">
        <f>IF(Fév!$H$46="x",AV22+Fév!$N$34,AV22)</f>
        <v>3.7999999999999989</v>
      </c>
      <c r="O22" s="483" t="str">
        <f t="shared" si="3"/>
        <v>-</v>
      </c>
      <c r="P22" s="473">
        <f t="shared" si="4"/>
        <v>3.7999999999999989</v>
      </c>
      <c r="Q22" s="474">
        <f t="shared" si="5"/>
        <v>0</v>
      </c>
      <c r="R22" s="474">
        <f t="shared" si="6"/>
        <v>0</v>
      </c>
      <c r="S22" s="474">
        <f t="shared" si="7"/>
        <v>0</v>
      </c>
      <c r="T22" s="474">
        <f t="shared" si="8"/>
        <v>0</v>
      </c>
      <c r="U22" s="471">
        <f t="shared" si="9"/>
        <v>0</v>
      </c>
      <c r="V22" s="471">
        <f t="shared" si="35"/>
        <v>0</v>
      </c>
      <c r="W22" s="471">
        <f t="shared" si="10"/>
        <v>0</v>
      </c>
      <c r="X22" s="471">
        <f t="shared" si="11"/>
        <v>0</v>
      </c>
      <c r="Y22" s="484"/>
      <c r="Z22" s="470"/>
      <c r="AA22" s="470"/>
      <c r="AB22" s="475">
        <f t="shared" si="18"/>
        <v>0</v>
      </c>
      <c r="AC22" s="475">
        <f t="shared" si="19"/>
        <v>0</v>
      </c>
      <c r="AD22" s="475">
        <f t="shared" si="20"/>
        <v>0</v>
      </c>
      <c r="AE22" s="475">
        <f t="shared" si="21"/>
        <v>0</v>
      </c>
      <c r="AF22" s="476">
        <f t="shared" si="22"/>
        <v>0</v>
      </c>
      <c r="AG22" s="475">
        <f t="shared" si="23"/>
        <v>0</v>
      </c>
      <c r="AH22" s="476">
        <f t="shared" si="24"/>
        <v>0</v>
      </c>
      <c r="AI22" s="475">
        <f t="shared" si="25"/>
        <v>0</v>
      </c>
      <c r="AJ22" s="477">
        <f>IF((D22&lt;&gt;""),VLOOKUP(D22,Données!$E$36:$H$59,4,FALSE),)</f>
        <v>0</v>
      </c>
      <c r="AK22" s="477">
        <f t="shared" si="26"/>
        <v>0</v>
      </c>
      <c r="AL22" s="478">
        <f t="shared" si="27"/>
        <v>0</v>
      </c>
      <c r="AM22" s="479">
        <f t="shared" si="28"/>
        <v>0</v>
      </c>
      <c r="AN22" s="480">
        <f t="shared" si="12"/>
        <v>0</v>
      </c>
      <c r="AO22" s="477">
        <f t="shared" si="13"/>
        <v>0</v>
      </c>
      <c r="AP22" s="481">
        <f t="shared" si="29"/>
        <v>0</v>
      </c>
      <c r="AQ22" s="481">
        <f t="shared" si="30"/>
        <v>0</v>
      </c>
      <c r="AR22" s="481">
        <f t="shared" si="31"/>
        <v>0</v>
      </c>
      <c r="AS22" s="481">
        <f t="shared" si="32"/>
        <v>0</v>
      </c>
      <c r="AT22" s="479">
        <f t="shared" si="14"/>
        <v>0</v>
      </c>
      <c r="AU22" s="479">
        <f t="shared" si="15"/>
        <v>0</v>
      </c>
      <c r="AV22" s="471">
        <f>IF(Données!$H$8="x",AW22,AX22)</f>
        <v>3.7999999999999989</v>
      </c>
      <c r="AW22" s="471">
        <f t="shared" si="1"/>
        <v>1.8999999999999995</v>
      </c>
      <c r="AX22" s="471">
        <f t="shared" si="36"/>
        <v>3.7999999999999989</v>
      </c>
      <c r="AY22" s="467" t="str">
        <f t="shared" si="17"/>
        <v>Me</v>
      </c>
      <c r="AZ22" s="7">
        <f>IF((S40="M4.2")*AND(S41&lt;&gt;""),VLOOKUP(S41,Échelle!$BJ$5:$BK$31,2),)</f>
        <v>0</v>
      </c>
      <c r="BA22" s="4" t="s">
        <v>15</v>
      </c>
      <c r="BB22" s="148"/>
    </row>
    <row r="23" spans="2:54" x14ac:dyDescent="0.2">
      <c r="B23" s="467" t="s">
        <v>180</v>
      </c>
      <c r="C23" s="468" t="s">
        <v>325</v>
      </c>
      <c r="D23" s="469"/>
      <c r="E23" s="469"/>
      <c r="F23" s="470"/>
      <c r="G23" s="470"/>
      <c r="H23" s="470"/>
      <c r="I23" s="470"/>
      <c r="J23" s="470"/>
      <c r="K23" s="470"/>
      <c r="L23" s="471">
        <f>(G23-F23)+(I23-H23)+(K23-J23)+AJ23+AO23</f>
        <v>0</v>
      </c>
      <c r="M23" s="471">
        <f t="shared" si="2"/>
        <v>0</v>
      </c>
      <c r="N23" s="471">
        <f>IF(Fév!$H$46="x",AV23+Fév!$N$34,AV23)</f>
        <v>4.1166666666666654</v>
      </c>
      <c r="O23" s="483" t="str">
        <f t="shared" si="3"/>
        <v>-</v>
      </c>
      <c r="P23" s="473">
        <f t="shared" si="4"/>
        <v>4.1166666666666654</v>
      </c>
      <c r="Q23" s="474">
        <f t="shared" si="5"/>
        <v>0</v>
      </c>
      <c r="R23" s="474">
        <f t="shared" si="6"/>
        <v>0</v>
      </c>
      <c r="S23" s="474">
        <f t="shared" si="7"/>
        <v>0</v>
      </c>
      <c r="T23" s="474">
        <f t="shared" si="8"/>
        <v>0</v>
      </c>
      <c r="U23" s="471">
        <f t="shared" si="9"/>
        <v>0</v>
      </c>
      <c r="V23" s="471">
        <f t="shared" si="35"/>
        <v>0</v>
      </c>
      <c r="W23" s="471">
        <f t="shared" si="10"/>
        <v>0</v>
      </c>
      <c r="X23" s="471">
        <f t="shared" si="11"/>
        <v>0</v>
      </c>
      <c r="Y23" s="484"/>
      <c r="Z23" s="470"/>
      <c r="AA23" s="470"/>
      <c r="AB23" s="475">
        <f t="shared" si="18"/>
        <v>0</v>
      </c>
      <c r="AC23" s="475">
        <f t="shared" si="19"/>
        <v>0</v>
      </c>
      <c r="AD23" s="475">
        <f t="shared" si="20"/>
        <v>0</v>
      </c>
      <c r="AE23" s="475">
        <f t="shared" si="21"/>
        <v>0</v>
      </c>
      <c r="AF23" s="476">
        <f t="shared" si="22"/>
        <v>0</v>
      </c>
      <c r="AG23" s="475">
        <f t="shared" si="23"/>
        <v>0</v>
      </c>
      <c r="AH23" s="476">
        <f t="shared" si="24"/>
        <v>0</v>
      </c>
      <c r="AI23" s="475">
        <f t="shared" si="25"/>
        <v>0</v>
      </c>
      <c r="AJ23" s="477">
        <f>IF((D23&lt;&gt;""),VLOOKUP(D23,Données!$E$36:$H$59,4,FALSE),)</f>
        <v>0</v>
      </c>
      <c r="AK23" s="477">
        <f t="shared" si="26"/>
        <v>0</v>
      </c>
      <c r="AL23" s="478">
        <f t="shared" si="27"/>
        <v>0</v>
      </c>
      <c r="AM23" s="479">
        <f t="shared" si="28"/>
        <v>0</v>
      </c>
      <c r="AN23" s="480">
        <f t="shared" si="12"/>
        <v>0</v>
      </c>
      <c r="AO23" s="477">
        <f t="shared" si="13"/>
        <v>0</v>
      </c>
      <c r="AP23" s="481">
        <f t="shared" si="29"/>
        <v>0</v>
      </c>
      <c r="AQ23" s="481">
        <f t="shared" si="30"/>
        <v>0</v>
      </c>
      <c r="AR23" s="481">
        <f t="shared" si="31"/>
        <v>0</v>
      </c>
      <c r="AS23" s="481">
        <f t="shared" si="32"/>
        <v>0</v>
      </c>
      <c r="AT23" s="479">
        <f t="shared" si="14"/>
        <v>0</v>
      </c>
      <c r="AU23" s="479">
        <f t="shared" si="15"/>
        <v>0</v>
      </c>
      <c r="AV23" s="471">
        <f>IF(Données!$H$8="x",AW23,AX23)</f>
        <v>4.1166666666666654</v>
      </c>
      <c r="AW23" s="471">
        <f t="shared" si="1"/>
        <v>2.0583333333333327</v>
      </c>
      <c r="AX23" s="471">
        <f t="shared" si="36"/>
        <v>4.1166666666666654</v>
      </c>
      <c r="AY23" s="467" t="str">
        <f t="shared" si="17"/>
        <v>Je</v>
      </c>
      <c r="AZ23" s="7">
        <f>IF((S40="M5.1")*AND(S41&lt;&gt;""),VLOOKUP(S41,Échelle!$BM$5:$BN$31,2),)</f>
        <v>0</v>
      </c>
      <c r="BA23" s="4" t="s">
        <v>16</v>
      </c>
      <c r="BB23" s="148"/>
    </row>
    <row r="24" spans="2:54" x14ac:dyDescent="0.2">
      <c r="B24" s="467" t="s">
        <v>182</v>
      </c>
      <c r="C24" s="468" t="s">
        <v>326</v>
      </c>
      <c r="D24" s="469"/>
      <c r="E24" s="469"/>
      <c r="F24" s="470"/>
      <c r="G24" s="470"/>
      <c r="H24" s="470"/>
      <c r="I24" s="470"/>
      <c r="J24" s="470"/>
      <c r="K24" s="470"/>
      <c r="L24" s="471">
        <f>(G24-F24)+(I24-H24)+(K24-J24)+AJ24+AO24</f>
        <v>0</v>
      </c>
      <c r="M24" s="471">
        <f>M23+L24</f>
        <v>0</v>
      </c>
      <c r="N24" s="471">
        <f>IF(Fév!$H$46="x",AV24+Fév!$N$34,AV24)</f>
        <v>4.4333333333333318</v>
      </c>
      <c r="O24" s="483" t="str">
        <f t="shared" si="3"/>
        <v>-</v>
      </c>
      <c r="P24" s="473">
        <f t="shared" si="4"/>
        <v>4.4333333333333318</v>
      </c>
      <c r="Q24" s="474">
        <f t="shared" si="5"/>
        <v>0</v>
      </c>
      <c r="R24" s="474">
        <f t="shared" si="6"/>
        <v>0</v>
      </c>
      <c r="S24" s="474">
        <f t="shared" si="7"/>
        <v>0</v>
      </c>
      <c r="T24" s="474">
        <f t="shared" si="8"/>
        <v>0</v>
      </c>
      <c r="U24" s="471">
        <f t="shared" si="9"/>
        <v>0</v>
      </c>
      <c r="V24" s="471">
        <f t="shared" si="35"/>
        <v>0</v>
      </c>
      <c r="W24" s="471">
        <f t="shared" si="10"/>
        <v>0</v>
      </c>
      <c r="X24" s="471">
        <f t="shared" si="11"/>
        <v>0</v>
      </c>
      <c r="Y24" s="484"/>
      <c r="Z24" s="470"/>
      <c r="AA24" s="470"/>
      <c r="AB24" s="475">
        <f t="shared" si="18"/>
        <v>0</v>
      </c>
      <c r="AC24" s="475">
        <f t="shared" si="19"/>
        <v>0</v>
      </c>
      <c r="AD24" s="475">
        <f t="shared" si="20"/>
        <v>0</v>
      </c>
      <c r="AE24" s="475">
        <f t="shared" si="21"/>
        <v>0</v>
      </c>
      <c r="AF24" s="476">
        <f t="shared" si="22"/>
        <v>0</v>
      </c>
      <c r="AG24" s="475">
        <f t="shared" si="23"/>
        <v>0</v>
      </c>
      <c r="AH24" s="476">
        <f t="shared" si="24"/>
        <v>0</v>
      </c>
      <c r="AI24" s="475">
        <f t="shared" si="25"/>
        <v>0</v>
      </c>
      <c r="AJ24" s="477">
        <f>IF((D24&lt;&gt;""),VLOOKUP(D24,Données!$E$36:$H$59,4,FALSE),)</f>
        <v>0</v>
      </c>
      <c r="AK24" s="477">
        <f t="shared" si="26"/>
        <v>0</v>
      </c>
      <c r="AL24" s="478">
        <f t="shared" si="27"/>
        <v>0</v>
      </c>
      <c r="AM24" s="479">
        <f t="shared" si="28"/>
        <v>0</v>
      </c>
      <c r="AN24" s="480">
        <f t="shared" si="12"/>
        <v>0</v>
      </c>
      <c r="AO24" s="477">
        <f t="shared" si="13"/>
        <v>0</v>
      </c>
      <c r="AP24" s="481">
        <f t="shared" si="29"/>
        <v>0</v>
      </c>
      <c r="AQ24" s="481">
        <f t="shared" si="30"/>
        <v>0</v>
      </c>
      <c r="AR24" s="481">
        <f t="shared" si="31"/>
        <v>0</v>
      </c>
      <c r="AS24" s="481">
        <f t="shared" si="32"/>
        <v>0</v>
      </c>
      <c r="AT24" s="479">
        <f t="shared" si="14"/>
        <v>0</v>
      </c>
      <c r="AU24" s="479">
        <f t="shared" si="15"/>
        <v>0</v>
      </c>
      <c r="AV24" s="471">
        <f>IF(Données!$H$8="x",AW24,AX24)</f>
        <v>4.4333333333333318</v>
      </c>
      <c r="AW24" s="471">
        <f t="shared" si="1"/>
        <v>2.2166666666666659</v>
      </c>
      <c r="AX24" s="471">
        <f t="shared" si="36"/>
        <v>4.4333333333333318</v>
      </c>
      <c r="AY24" s="467" t="str">
        <f t="shared" si="17"/>
        <v>Ve</v>
      </c>
      <c r="AZ24" s="7">
        <f>IF((S40="M5.2")*AND(S41&lt;&gt;""),VLOOKUP(S41,Échelle!$BP$5:$BQ$31,2),)</f>
        <v>0</v>
      </c>
      <c r="BA24" s="4" t="s">
        <v>17</v>
      </c>
      <c r="BB24" s="148"/>
    </row>
    <row r="25" spans="2:54" x14ac:dyDescent="0.2">
      <c r="B25" s="403" t="s">
        <v>184</v>
      </c>
      <c r="C25" s="412" t="s">
        <v>327</v>
      </c>
      <c r="D25" s="411"/>
      <c r="E25" s="411"/>
      <c r="F25" s="401"/>
      <c r="G25" s="401"/>
      <c r="H25" s="401"/>
      <c r="I25" s="401"/>
      <c r="J25" s="401"/>
      <c r="K25" s="401"/>
      <c r="L25" s="402">
        <f>(G25-F25)+(I25-H25)+(K25-J25)</f>
        <v>0</v>
      </c>
      <c r="M25" s="402">
        <f>M24+L25</f>
        <v>0</v>
      </c>
      <c r="N25" s="402">
        <f>IF(Fév!$H$46="x",AV25+Fév!$N$34,AV25)</f>
        <v>4.4333333333333318</v>
      </c>
      <c r="O25" s="408" t="str">
        <f t="shared" si="3"/>
        <v>-</v>
      </c>
      <c r="P25" s="413">
        <f t="shared" si="4"/>
        <v>4.4333333333333318</v>
      </c>
      <c r="Q25" s="410">
        <f t="shared" si="5"/>
        <v>0</v>
      </c>
      <c r="R25" s="410">
        <f t="shared" si="6"/>
        <v>0</v>
      </c>
      <c r="S25" s="410">
        <f t="shared" si="7"/>
        <v>0</v>
      </c>
      <c r="T25" s="410">
        <f t="shared" si="8"/>
        <v>0</v>
      </c>
      <c r="U25" s="402">
        <f t="shared" si="9"/>
        <v>0</v>
      </c>
      <c r="V25" s="402">
        <f>L25</f>
        <v>0</v>
      </c>
      <c r="W25" s="402">
        <f t="shared" si="10"/>
        <v>0</v>
      </c>
      <c r="X25" s="402">
        <f t="shared" si="11"/>
        <v>0</v>
      </c>
      <c r="Y25" s="427"/>
      <c r="Z25" s="401"/>
      <c r="AA25" s="401"/>
      <c r="AB25" s="420">
        <f t="shared" si="18"/>
        <v>0</v>
      </c>
      <c r="AC25" s="420">
        <f t="shared" si="19"/>
        <v>0</v>
      </c>
      <c r="AD25" s="420">
        <f t="shared" si="20"/>
        <v>0</v>
      </c>
      <c r="AE25" s="420">
        <f t="shared" si="21"/>
        <v>0</v>
      </c>
      <c r="AF25" s="421">
        <f t="shared" si="22"/>
        <v>0</v>
      </c>
      <c r="AG25" s="420">
        <f t="shared" si="23"/>
        <v>0</v>
      </c>
      <c r="AH25" s="421">
        <f t="shared" si="24"/>
        <v>0</v>
      </c>
      <c r="AI25" s="420">
        <f t="shared" si="25"/>
        <v>0</v>
      </c>
      <c r="AJ25" s="422">
        <f>IF((D25&lt;&gt;""),VLOOKUP(D25,Données!$E$36:$H$59,4,FALSE),)</f>
        <v>0</v>
      </c>
      <c r="AK25" s="422">
        <f t="shared" si="26"/>
        <v>0</v>
      </c>
      <c r="AL25" s="423">
        <f t="shared" si="27"/>
        <v>0</v>
      </c>
      <c r="AM25" s="424">
        <f t="shared" si="28"/>
        <v>0</v>
      </c>
      <c r="AN25" s="425">
        <f t="shared" si="12"/>
        <v>0</v>
      </c>
      <c r="AO25" s="422">
        <f t="shared" si="13"/>
        <v>0</v>
      </c>
      <c r="AP25" s="426">
        <f t="shared" si="29"/>
        <v>0</v>
      </c>
      <c r="AQ25" s="426">
        <f t="shared" si="30"/>
        <v>0</v>
      </c>
      <c r="AR25" s="426">
        <f t="shared" si="31"/>
        <v>0</v>
      </c>
      <c r="AS25" s="426">
        <f t="shared" si="32"/>
        <v>0</v>
      </c>
      <c r="AT25" s="424">
        <f t="shared" si="14"/>
        <v>0</v>
      </c>
      <c r="AU25" s="424">
        <f t="shared" si="15"/>
        <v>0</v>
      </c>
      <c r="AV25" s="402">
        <f>IF(Données!$H$8="x",AW25,AX25)</f>
        <v>4.4333333333333318</v>
      </c>
      <c r="AW25" s="402">
        <f t="shared" si="1"/>
        <v>2.2166666666666659</v>
      </c>
      <c r="AX25" s="402">
        <f>AX24</f>
        <v>4.4333333333333318</v>
      </c>
      <c r="AY25" s="403" t="str">
        <f t="shared" si="17"/>
        <v>Sa</v>
      </c>
      <c r="AZ25" s="423">
        <f>IF((S40="M6")*AND(S41&lt;&gt;""),VLOOKUP(S41,Échelle!$BS$5:$BT$31,2),)</f>
        <v>0</v>
      </c>
      <c r="BA25" s="424" t="s">
        <v>18</v>
      </c>
      <c r="BB25" s="148"/>
    </row>
    <row r="26" spans="2:54" x14ac:dyDescent="0.2">
      <c r="B26" s="403" t="s">
        <v>186</v>
      </c>
      <c r="C26" s="412" t="s">
        <v>328</v>
      </c>
      <c r="D26" s="411"/>
      <c r="E26" s="411"/>
      <c r="F26" s="401"/>
      <c r="G26" s="401"/>
      <c r="H26" s="401"/>
      <c r="I26" s="401"/>
      <c r="J26" s="401"/>
      <c r="K26" s="401"/>
      <c r="L26" s="402">
        <f>(G26-F26)+(I26-H26)+(K26-J26)</f>
        <v>0</v>
      </c>
      <c r="M26" s="402">
        <f t="shared" si="2"/>
        <v>0</v>
      </c>
      <c r="N26" s="402">
        <f>IF(Fév!$H$46="x",AV26+Fév!$N$34,AV26)</f>
        <v>4.4333333333333318</v>
      </c>
      <c r="O26" s="408" t="str">
        <f t="shared" si="3"/>
        <v>-</v>
      </c>
      <c r="P26" s="413">
        <f t="shared" si="4"/>
        <v>4.4333333333333318</v>
      </c>
      <c r="Q26" s="410">
        <f t="shared" si="5"/>
        <v>0</v>
      </c>
      <c r="R26" s="410">
        <f t="shared" si="6"/>
        <v>0</v>
      </c>
      <c r="S26" s="410">
        <f t="shared" si="7"/>
        <v>0</v>
      </c>
      <c r="T26" s="410">
        <f t="shared" si="8"/>
        <v>0</v>
      </c>
      <c r="U26" s="402">
        <f t="shared" si="9"/>
        <v>0</v>
      </c>
      <c r="V26" s="402">
        <f>L26</f>
        <v>0</v>
      </c>
      <c r="W26" s="402">
        <f t="shared" si="10"/>
        <v>0</v>
      </c>
      <c r="X26" s="402">
        <f t="shared" si="11"/>
        <v>0</v>
      </c>
      <c r="Y26" s="427"/>
      <c r="Z26" s="401"/>
      <c r="AA26" s="401"/>
      <c r="AB26" s="420">
        <f t="shared" si="18"/>
        <v>0</v>
      </c>
      <c r="AC26" s="420">
        <f t="shared" si="19"/>
        <v>0</v>
      </c>
      <c r="AD26" s="420">
        <f t="shared" si="20"/>
        <v>0</v>
      </c>
      <c r="AE26" s="420">
        <f t="shared" si="21"/>
        <v>0</v>
      </c>
      <c r="AF26" s="421">
        <f t="shared" si="22"/>
        <v>0</v>
      </c>
      <c r="AG26" s="420">
        <f t="shared" si="23"/>
        <v>0</v>
      </c>
      <c r="AH26" s="421">
        <f t="shared" si="24"/>
        <v>0</v>
      </c>
      <c r="AI26" s="420">
        <f t="shared" si="25"/>
        <v>0</v>
      </c>
      <c r="AJ26" s="422">
        <f>IF((D26&lt;&gt;""),VLOOKUP(D26,Données!$E$36:$H$59,4,FALSE),)</f>
        <v>0</v>
      </c>
      <c r="AK26" s="422">
        <f t="shared" si="26"/>
        <v>0</v>
      </c>
      <c r="AL26" s="423">
        <f t="shared" si="27"/>
        <v>0</v>
      </c>
      <c r="AM26" s="424">
        <f t="shared" si="28"/>
        <v>0</v>
      </c>
      <c r="AN26" s="425">
        <f t="shared" si="12"/>
        <v>0</v>
      </c>
      <c r="AO26" s="422">
        <f t="shared" si="13"/>
        <v>0</v>
      </c>
      <c r="AP26" s="426">
        <f t="shared" si="29"/>
        <v>0</v>
      </c>
      <c r="AQ26" s="426">
        <f t="shared" si="30"/>
        <v>0</v>
      </c>
      <c r="AR26" s="426">
        <f t="shared" si="31"/>
        <v>0</v>
      </c>
      <c r="AS26" s="426">
        <f t="shared" si="32"/>
        <v>0</v>
      </c>
      <c r="AT26" s="424">
        <f t="shared" si="14"/>
        <v>0</v>
      </c>
      <c r="AU26" s="424">
        <f t="shared" si="15"/>
        <v>0</v>
      </c>
      <c r="AV26" s="402">
        <f>IF(Données!$H$8="x",AW26,AX26)</f>
        <v>4.4333333333333318</v>
      </c>
      <c r="AW26" s="402">
        <f t="shared" si="1"/>
        <v>2.2166666666666659</v>
      </c>
      <c r="AX26" s="402">
        <f>AX25</f>
        <v>4.4333333333333318</v>
      </c>
      <c r="AY26" s="403" t="str">
        <f t="shared" si="17"/>
        <v>Di</v>
      </c>
      <c r="AZ26" s="423">
        <f>IF((S40="M7")*AND(S41&lt;&gt;""),VLOOKUP(S41,Échelle!$BV$5:$BW$31,2),)</f>
        <v>0</v>
      </c>
      <c r="BA26" s="424" t="s">
        <v>19</v>
      </c>
      <c r="BB26" s="148"/>
    </row>
    <row r="27" spans="2:54" x14ac:dyDescent="0.2">
      <c r="B27" s="467" t="s">
        <v>188</v>
      </c>
      <c r="C27" s="468" t="s">
        <v>329</v>
      </c>
      <c r="D27" s="469"/>
      <c r="E27" s="469"/>
      <c r="F27" s="470"/>
      <c r="G27" s="470"/>
      <c r="H27" s="470"/>
      <c r="I27" s="470"/>
      <c r="J27" s="470"/>
      <c r="K27" s="470"/>
      <c r="L27" s="471">
        <f>(G27-F27)+(I27-H27)+(K27-J27)+AJ27+AO27</f>
        <v>0</v>
      </c>
      <c r="M27" s="471">
        <f t="shared" si="2"/>
        <v>0</v>
      </c>
      <c r="N27" s="471">
        <f>IF(Fév!$H$46="x",AV27+Fév!$N$34,AV27)</f>
        <v>4.7499999999999982</v>
      </c>
      <c r="O27" s="483" t="str">
        <f t="shared" si="3"/>
        <v>-</v>
      </c>
      <c r="P27" s="473">
        <f t="shared" si="4"/>
        <v>4.7499999999999982</v>
      </c>
      <c r="Q27" s="474">
        <f t="shared" si="5"/>
        <v>0</v>
      </c>
      <c r="R27" s="474">
        <f t="shared" si="6"/>
        <v>0</v>
      </c>
      <c r="S27" s="474">
        <f t="shared" si="7"/>
        <v>0</v>
      </c>
      <c r="T27" s="474">
        <f t="shared" si="8"/>
        <v>0</v>
      </c>
      <c r="U27" s="471">
        <f t="shared" si="9"/>
        <v>0</v>
      </c>
      <c r="V27" s="471">
        <f t="shared" ref="V27:V37" si="37">IF(D27="F",L27,0)</f>
        <v>0</v>
      </c>
      <c r="W27" s="471">
        <f t="shared" si="10"/>
        <v>0</v>
      </c>
      <c r="X27" s="471">
        <f t="shared" si="11"/>
        <v>0</v>
      </c>
      <c r="Y27" s="484"/>
      <c r="Z27" s="470"/>
      <c r="AA27" s="470"/>
      <c r="AB27" s="475">
        <f t="shared" si="18"/>
        <v>0</v>
      </c>
      <c r="AC27" s="475">
        <f t="shared" si="19"/>
        <v>0</v>
      </c>
      <c r="AD27" s="475">
        <f t="shared" si="20"/>
        <v>0</v>
      </c>
      <c r="AE27" s="475">
        <f t="shared" si="21"/>
        <v>0</v>
      </c>
      <c r="AF27" s="476">
        <f t="shared" si="22"/>
        <v>0</v>
      </c>
      <c r="AG27" s="475">
        <f t="shared" si="23"/>
        <v>0</v>
      </c>
      <c r="AH27" s="476">
        <f t="shared" si="24"/>
        <v>0</v>
      </c>
      <c r="AI27" s="475">
        <f t="shared" si="25"/>
        <v>0</v>
      </c>
      <c r="AJ27" s="477">
        <f>IF((D27&lt;&gt;""),VLOOKUP(D27,Données!$E$36:$H$59,4,FALSE),)</f>
        <v>0</v>
      </c>
      <c r="AK27" s="477">
        <f t="shared" si="26"/>
        <v>0</v>
      </c>
      <c r="AL27" s="478">
        <f t="shared" si="27"/>
        <v>0</v>
      </c>
      <c r="AM27" s="479">
        <f t="shared" si="28"/>
        <v>0</v>
      </c>
      <c r="AN27" s="480">
        <f t="shared" si="12"/>
        <v>0</v>
      </c>
      <c r="AO27" s="477">
        <f t="shared" si="13"/>
        <v>0</v>
      </c>
      <c r="AP27" s="481">
        <f t="shared" si="29"/>
        <v>0</v>
      </c>
      <c r="AQ27" s="481">
        <f t="shared" si="30"/>
        <v>0</v>
      </c>
      <c r="AR27" s="481">
        <f t="shared" si="31"/>
        <v>0</v>
      </c>
      <c r="AS27" s="481">
        <f t="shared" si="32"/>
        <v>0</v>
      </c>
      <c r="AT27" s="479">
        <f t="shared" si="14"/>
        <v>0</v>
      </c>
      <c r="AU27" s="479">
        <f t="shared" si="15"/>
        <v>0</v>
      </c>
      <c r="AV27" s="471">
        <f>IF(Données!$H$8="x",AW27,AX27)</f>
        <v>4.7499999999999982</v>
      </c>
      <c r="AW27" s="471">
        <f t="shared" si="1"/>
        <v>2.3749999999999991</v>
      </c>
      <c r="AX27" s="471">
        <f t="shared" ref="AX27:AX37" si="38">IF(D27="L",AX26,(AX26+"07:36"))</f>
        <v>4.7499999999999982</v>
      </c>
      <c r="AY27" s="467" t="str">
        <f t="shared" si="17"/>
        <v>Lu</v>
      </c>
      <c r="AZ27" s="7">
        <f>IF((S40="M7bis")*AND(S41&lt;&gt;""),VLOOKUP(S41,Échelle!$BY$5:$BZ$31,2),)</f>
        <v>0</v>
      </c>
      <c r="BA27" s="4" t="s">
        <v>20</v>
      </c>
      <c r="BB27" s="148"/>
    </row>
    <row r="28" spans="2:54" x14ac:dyDescent="0.2">
      <c r="B28" s="467" t="s">
        <v>176</v>
      </c>
      <c r="C28" s="468" t="s">
        <v>330</v>
      </c>
      <c r="D28" s="469"/>
      <c r="E28" s="469"/>
      <c r="F28" s="470"/>
      <c r="G28" s="470"/>
      <c r="H28" s="470"/>
      <c r="I28" s="470"/>
      <c r="J28" s="470"/>
      <c r="K28" s="470"/>
      <c r="L28" s="471">
        <f>(G28-F28)+(I28-H28)+(K28-J28)+AJ28+AO28</f>
        <v>0</v>
      </c>
      <c r="M28" s="471">
        <f t="shared" si="2"/>
        <v>0</v>
      </c>
      <c r="N28" s="471">
        <f>IF(Fév!$H$46="x",AV28+Fév!$N$34,AV28)</f>
        <v>5.0666666666666647</v>
      </c>
      <c r="O28" s="483" t="str">
        <f t="shared" si="3"/>
        <v>-</v>
      </c>
      <c r="P28" s="473">
        <f t="shared" si="4"/>
        <v>5.0666666666666647</v>
      </c>
      <c r="Q28" s="474">
        <f t="shared" si="5"/>
        <v>0</v>
      </c>
      <c r="R28" s="474">
        <f t="shared" si="6"/>
        <v>0</v>
      </c>
      <c r="S28" s="474">
        <f t="shared" si="7"/>
        <v>0</v>
      </c>
      <c r="T28" s="474">
        <f t="shared" si="8"/>
        <v>0</v>
      </c>
      <c r="U28" s="471">
        <f t="shared" si="9"/>
        <v>0</v>
      </c>
      <c r="V28" s="471">
        <f t="shared" si="37"/>
        <v>0</v>
      </c>
      <c r="W28" s="471">
        <f t="shared" si="10"/>
        <v>0</v>
      </c>
      <c r="X28" s="471">
        <f t="shared" si="11"/>
        <v>0</v>
      </c>
      <c r="Y28" s="484"/>
      <c r="Z28" s="470"/>
      <c r="AA28" s="470"/>
      <c r="AB28" s="475">
        <f t="shared" si="18"/>
        <v>0</v>
      </c>
      <c r="AC28" s="475">
        <f t="shared" si="19"/>
        <v>0</v>
      </c>
      <c r="AD28" s="475">
        <f t="shared" si="20"/>
        <v>0</v>
      </c>
      <c r="AE28" s="475">
        <f t="shared" si="21"/>
        <v>0</v>
      </c>
      <c r="AF28" s="476">
        <f t="shared" si="22"/>
        <v>0</v>
      </c>
      <c r="AG28" s="475">
        <f t="shared" si="23"/>
        <v>0</v>
      </c>
      <c r="AH28" s="476">
        <f t="shared" si="24"/>
        <v>0</v>
      </c>
      <c r="AI28" s="475">
        <f t="shared" si="25"/>
        <v>0</v>
      </c>
      <c r="AJ28" s="477">
        <f>IF((D28&lt;&gt;""),VLOOKUP(D28,Données!$E$36:$H$59,4,FALSE),)</f>
        <v>0</v>
      </c>
      <c r="AK28" s="477">
        <f t="shared" si="26"/>
        <v>0</v>
      </c>
      <c r="AL28" s="478">
        <f t="shared" si="27"/>
        <v>0</v>
      </c>
      <c r="AM28" s="479">
        <f t="shared" si="28"/>
        <v>0</v>
      </c>
      <c r="AN28" s="480">
        <f t="shared" si="12"/>
        <v>0</v>
      </c>
      <c r="AO28" s="477">
        <f t="shared" si="13"/>
        <v>0</v>
      </c>
      <c r="AP28" s="481">
        <f t="shared" si="29"/>
        <v>0</v>
      </c>
      <c r="AQ28" s="481">
        <f t="shared" si="30"/>
        <v>0</v>
      </c>
      <c r="AR28" s="481">
        <f t="shared" si="31"/>
        <v>0</v>
      </c>
      <c r="AS28" s="481">
        <f t="shared" si="32"/>
        <v>0</v>
      </c>
      <c r="AT28" s="479">
        <f t="shared" si="14"/>
        <v>0</v>
      </c>
      <c r="AU28" s="479">
        <f t="shared" si="15"/>
        <v>0</v>
      </c>
      <c r="AV28" s="471">
        <f>IF(Données!$H$8="x",AW28,AX28)</f>
        <v>5.0666666666666647</v>
      </c>
      <c r="AW28" s="471">
        <f t="shared" si="1"/>
        <v>2.5333333333333323</v>
      </c>
      <c r="AX28" s="471">
        <f t="shared" si="38"/>
        <v>5.0666666666666647</v>
      </c>
      <c r="AY28" s="467" t="str">
        <f t="shared" si="17"/>
        <v>Ma</v>
      </c>
      <c r="AZ28" s="7">
        <f>IF((S40="O1")*AND(S41&lt;&gt;""),VLOOKUP(S41,Échelle!$Q$39:$R$65,2),)</f>
        <v>0</v>
      </c>
      <c r="BA28" s="4" t="s">
        <v>22</v>
      </c>
      <c r="BB28" s="148"/>
    </row>
    <row r="29" spans="2:54" x14ac:dyDescent="0.2">
      <c r="B29" s="467" t="s">
        <v>178</v>
      </c>
      <c r="C29" s="468" t="s">
        <v>331</v>
      </c>
      <c r="D29" s="469"/>
      <c r="E29" s="469"/>
      <c r="F29" s="470"/>
      <c r="G29" s="470"/>
      <c r="H29" s="470"/>
      <c r="I29" s="470"/>
      <c r="J29" s="470"/>
      <c r="K29" s="470"/>
      <c r="L29" s="471">
        <f>(G29-F29)+(I29-H29)+(K29-J29)+AJ29+AO29</f>
        <v>0</v>
      </c>
      <c r="M29" s="471">
        <f t="shared" si="2"/>
        <v>0</v>
      </c>
      <c r="N29" s="471">
        <f>IF(Fév!$H$46="x",AV29+Fév!$N$34,AV29)</f>
        <v>5.3833333333333311</v>
      </c>
      <c r="O29" s="483" t="str">
        <f t="shared" si="3"/>
        <v>-</v>
      </c>
      <c r="P29" s="473">
        <f t="shared" si="4"/>
        <v>5.3833333333333311</v>
      </c>
      <c r="Q29" s="474">
        <f t="shared" si="5"/>
        <v>0</v>
      </c>
      <c r="R29" s="474">
        <f t="shared" si="6"/>
        <v>0</v>
      </c>
      <c r="S29" s="474">
        <f t="shared" si="7"/>
        <v>0</v>
      </c>
      <c r="T29" s="474">
        <f t="shared" si="8"/>
        <v>0</v>
      </c>
      <c r="U29" s="471">
        <f t="shared" si="9"/>
        <v>0</v>
      </c>
      <c r="V29" s="471">
        <f t="shared" si="37"/>
        <v>0</v>
      </c>
      <c r="W29" s="471">
        <f t="shared" si="10"/>
        <v>0</v>
      </c>
      <c r="X29" s="471">
        <f t="shared" si="11"/>
        <v>0</v>
      </c>
      <c r="Y29" s="484"/>
      <c r="Z29" s="470"/>
      <c r="AA29" s="470"/>
      <c r="AB29" s="475">
        <f t="shared" si="18"/>
        <v>0</v>
      </c>
      <c r="AC29" s="475">
        <f t="shared" si="19"/>
        <v>0</v>
      </c>
      <c r="AD29" s="475">
        <f t="shared" si="20"/>
        <v>0</v>
      </c>
      <c r="AE29" s="475">
        <f t="shared" si="21"/>
        <v>0</v>
      </c>
      <c r="AF29" s="476">
        <f t="shared" si="22"/>
        <v>0</v>
      </c>
      <c r="AG29" s="475">
        <f t="shared" si="23"/>
        <v>0</v>
      </c>
      <c r="AH29" s="476">
        <f t="shared" si="24"/>
        <v>0</v>
      </c>
      <c r="AI29" s="475">
        <f t="shared" si="25"/>
        <v>0</v>
      </c>
      <c r="AJ29" s="477">
        <f>IF((D29&lt;&gt;""),VLOOKUP(D29,Données!$E$36:$H$59,4,FALSE),)</f>
        <v>0</v>
      </c>
      <c r="AK29" s="477">
        <f t="shared" si="26"/>
        <v>0</v>
      </c>
      <c r="AL29" s="478">
        <f t="shared" si="27"/>
        <v>0</v>
      </c>
      <c r="AM29" s="479">
        <f t="shared" si="28"/>
        <v>0</v>
      </c>
      <c r="AN29" s="480">
        <f t="shared" si="12"/>
        <v>0</v>
      </c>
      <c r="AO29" s="477">
        <f t="shared" si="13"/>
        <v>0</v>
      </c>
      <c r="AP29" s="481">
        <f t="shared" si="29"/>
        <v>0</v>
      </c>
      <c r="AQ29" s="481">
        <f t="shared" si="30"/>
        <v>0</v>
      </c>
      <c r="AR29" s="481">
        <f t="shared" si="31"/>
        <v>0</v>
      </c>
      <c r="AS29" s="481">
        <f t="shared" si="32"/>
        <v>0</v>
      </c>
      <c r="AT29" s="479">
        <f t="shared" si="14"/>
        <v>0</v>
      </c>
      <c r="AU29" s="479">
        <f t="shared" si="15"/>
        <v>0</v>
      </c>
      <c r="AV29" s="471">
        <f>IF(Données!$H$8="x",AW29,AX29)</f>
        <v>5.3833333333333311</v>
      </c>
      <c r="AW29" s="471">
        <f t="shared" si="1"/>
        <v>2.6916666666666655</v>
      </c>
      <c r="AX29" s="471">
        <f t="shared" si="38"/>
        <v>5.3833333333333311</v>
      </c>
      <c r="AY29" s="467" t="str">
        <f t="shared" si="17"/>
        <v>Me</v>
      </c>
      <c r="AZ29" s="7">
        <f>IF((S40="O2")*AND(S41&lt;&gt;""),VLOOKUP(S41,Échelle!$T$39:$U$65,2),)</f>
        <v>0</v>
      </c>
      <c r="BA29" s="4" t="s">
        <v>23</v>
      </c>
      <c r="BB29" s="148"/>
    </row>
    <row r="30" spans="2:54" x14ac:dyDescent="0.2">
      <c r="B30" s="467" t="s">
        <v>180</v>
      </c>
      <c r="C30" s="468" t="s">
        <v>332</v>
      </c>
      <c r="D30" s="469"/>
      <c r="E30" s="469"/>
      <c r="F30" s="470"/>
      <c r="G30" s="470"/>
      <c r="H30" s="470"/>
      <c r="I30" s="470"/>
      <c r="J30" s="470"/>
      <c r="K30" s="470"/>
      <c r="L30" s="471">
        <f>(G30-F30)+(I30-H30)+(K30-J30)+AJ30+AO30</f>
        <v>0</v>
      </c>
      <c r="M30" s="471">
        <f t="shared" si="2"/>
        <v>0</v>
      </c>
      <c r="N30" s="471">
        <f>IF(Fév!$H$46="x",AV30+Fév!$N$34,AV30)</f>
        <v>5.6999999999999975</v>
      </c>
      <c r="O30" s="483" t="str">
        <f t="shared" si="3"/>
        <v>-</v>
      </c>
      <c r="P30" s="473">
        <f t="shared" si="4"/>
        <v>5.6999999999999975</v>
      </c>
      <c r="Q30" s="474">
        <f t="shared" si="5"/>
        <v>0</v>
      </c>
      <c r="R30" s="474">
        <f t="shared" si="6"/>
        <v>0</v>
      </c>
      <c r="S30" s="474">
        <f t="shared" si="7"/>
        <v>0</v>
      </c>
      <c r="T30" s="474">
        <f t="shared" si="8"/>
        <v>0</v>
      </c>
      <c r="U30" s="471">
        <f t="shared" si="9"/>
        <v>0</v>
      </c>
      <c r="V30" s="471">
        <f t="shared" si="37"/>
        <v>0</v>
      </c>
      <c r="W30" s="471">
        <f t="shared" si="10"/>
        <v>0</v>
      </c>
      <c r="X30" s="471">
        <f t="shared" si="11"/>
        <v>0</v>
      </c>
      <c r="Y30" s="484"/>
      <c r="Z30" s="470"/>
      <c r="AA30" s="470"/>
      <c r="AB30" s="475">
        <f t="shared" si="18"/>
        <v>0</v>
      </c>
      <c r="AC30" s="475">
        <f t="shared" si="19"/>
        <v>0</v>
      </c>
      <c r="AD30" s="475">
        <f t="shared" si="20"/>
        <v>0</v>
      </c>
      <c r="AE30" s="475">
        <f t="shared" si="21"/>
        <v>0</v>
      </c>
      <c r="AF30" s="476">
        <f t="shared" si="22"/>
        <v>0</v>
      </c>
      <c r="AG30" s="475">
        <f t="shared" si="23"/>
        <v>0</v>
      </c>
      <c r="AH30" s="476">
        <f t="shared" si="24"/>
        <v>0</v>
      </c>
      <c r="AI30" s="475">
        <f t="shared" si="25"/>
        <v>0</v>
      </c>
      <c r="AJ30" s="477">
        <f>IF((D30&lt;&gt;""),VLOOKUP(D30,Données!$E$36:$H$59,4,FALSE),)</f>
        <v>0</v>
      </c>
      <c r="AK30" s="477">
        <f t="shared" si="26"/>
        <v>0</v>
      </c>
      <c r="AL30" s="478">
        <f t="shared" si="27"/>
        <v>0</v>
      </c>
      <c r="AM30" s="479">
        <f t="shared" si="28"/>
        <v>0</v>
      </c>
      <c r="AN30" s="480">
        <f t="shared" si="12"/>
        <v>0</v>
      </c>
      <c r="AO30" s="477">
        <f t="shared" si="13"/>
        <v>0</v>
      </c>
      <c r="AP30" s="481">
        <f t="shared" si="29"/>
        <v>0</v>
      </c>
      <c r="AQ30" s="481">
        <f t="shared" si="30"/>
        <v>0</v>
      </c>
      <c r="AR30" s="481">
        <f t="shared" si="31"/>
        <v>0</v>
      </c>
      <c r="AS30" s="481">
        <f t="shared" si="32"/>
        <v>0</v>
      </c>
      <c r="AT30" s="479">
        <f t="shared" si="14"/>
        <v>0</v>
      </c>
      <c r="AU30" s="479">
        <f t="shared" si="15"/>
        <v>0</v>
      </c>
      <c r="AV30" s="471">
        <f>IF(Données!$H$8="x",AW30,AX30)</f>
        <v>5.6999999999999975</v>
      </c>
      <c r="AW30" s="471">
        <f t="shared" si="1"/>
        <v>2.8499999999999988</v>
      </c>
      <c r="AX30" s="471">
        <f t="shared" si="38"/>
        <v>5.6999999999999975</v>
      </c>
      <c r="AY30" s="467" t="str">
        <f t="shared" si="17"/>
        <v>Je</v>
      </c>
      <c r="AZ30" s="7">
        <f>IF((S40="O2ir")*AND(S41&lt;&gt;""),VLOOKUP(S41,Échelle!$AR$39:$AS$65,2),)</f>
        <v>0</v>
      </c>
      <c r="BA30" s="4" t="s">
        <v>31</v>
      </c>
      <c r="BB30" s="148"/>
    </row>
    <row r="31" spans="2:54" x14ac:dyDescent="0.2">
      <c r="B31" s="467" t="s">
        <v>182</v>
      </c>
      <c r="C31" s="468" t="s">
        <v>333</v>
      </c>
      <c r="D31" s="469"/>
      <c r="E31" s="469"/>
      <c r="F31" s="470"/>
      <c r="G31" s="470"/>
      <c r="H31" s="470"/>
      <c r="I31" s="470"/>
      <c r="J31" s="470"/>
      <c r="K31" s="470"/>
      <c r="L31" s="471">
        <f>(G31-F31)+(I31-H31)+(K31-J31)+AJ31+AO31</f>
        <v>0</v>
      </c>
      <c r="M31" s="471">
        <f>M30+L31</f>
        <v>0</v>
      </c>
      <c r="N31" s="471">
        <f>IF(Fév!$H$46="x",AV31+Fév!$N$34,AV31)</f>
        <v>6.0166666666666639</v>
      </c>
      <c r="O31" s="483" t="str">
        <f t="shared" si="3"/>
        <v>-</v>
      </c>
      <c r="P31" s="473">
        <f t="shared" si="4"/>
        <v>6.0166666666666639</v>
      </c>
      <c r="Q31" s="474">
        <f t="shared" si="5"/>
        <v>0</v>
      </c>
      <c r="R31" s="474">
        <f t="shared" si="6"/>
        <v>0</v>
      </c>
      <c r="S31" s="474">
        <f t="shared" si="7"/>
        <v>0</v>
      </c>
      <c r="T31" s="474">
        <f t="shared" si="8"/>
        <v>0</v>
      </c>
      <c r="U31" s="471">
        <f t="shared" si="9"/>
        <v>0</v>
      </c>
      <c r="V31" s="471">
        <f t="shared" si="37"/>
        <v>0</v>
      </c>
      <c r="W31" s="471">
        <f t="shared" si="10"/>
        <v>0</v>
      </c>
      <c r="X31" s="471">
        <f t="shared" si="11"/>
        <v>0</v>
      </c>
      <c r="Y31" s="484"/>
      <c r="Z31" s="470"/>
      <c r="AA31" s="470"/>
      <c r="AB31" s="475">
        <f t="shared" si="18"/>
        <v>0</v>
      </c>
      <c r="AC31" s="475">
        <f t="shared" si="19"/>
        <v>0</v>
      </c>
      <c r="AD31" s="475">
        <f t="shared" si="20"/>
        <v>0</v>
      </c>
      <c r="AE31" s="475">
        <f t="shared" si="21"/>
        <v>0</v>
      </c>
      <c r="AF31" s="476">
        <f t="shared" si="22"/>
        <v>0</v>
      </c>
      <c r="AG31" s="475">
        <f t="shared" si="23"/>
        <v>0</v>
      </c>
      <c r="AH31" s="476">
        <f t="shared" si="24"/>
        <v>0</v>
      </c>
      <c r="AI31" s="475">
        <f t="shared" si="25"/>
        <v>0</v>
      </c>
      <c r="AJ31" s="477">
        <f>IF((D31&lt;&gt;""),VLOOKUP(D31,Données!$E$36:$H$59,4,FALSE),)</f>
        <v>0</v>
      </c>
      <c r="AK31" s="477">
        <f t="shared" si="26"/>
        <v>0</v>
      </c>
      <c r="AL31" s="478">
        <f t="shared" si="27"/>
        <v>0</v>
      </c>
      <c r="AM31" s="479">
        <f t="shared" si="28"/>
        <v>0</v>
      </c>
      <c r="AN31" s="480">
        <f t="shared" si="12"/>
        <v>0</v>
      </c>
      <c r="AO31" s="477">
        <f t="shared" si="13"/>
        <v>0</v>
      </c>
      <c r="AP31" s="481">
        <f t="shared" si="29"/>
        <v>0</v>
      </c>
      <c r="AQ31" s="481">
        <f t="shared" si="30"/>
        <v>0</v>
      </c>
      <c r="AR31" s="481">
        <f t="shared" si="31"/>
        <v>0</v>
      </c>
      <c r="AS31" s="481">
        <f t="shared" si="32"/>
        <v>0</v>
      </c>
      <c r="AT31" s="479">
        <f t="shared" si="14"/>
        <v>0</v>
      </c>
      <c r="AU31" s="479">
        <f t="shared" si="15"/>
        <v>0</v>
      </c>
      <c r="AV31" s="471">
        <f>IF(Données!$H$8="x",AW31,AX31)</f>
        <v>6.0166666666666639</v>
      </c>
      <c r="AW31" s="471">
        <f t="shared" si="1"/>
        <v>3.008333333333332</v>
      </c>
      <c r="AX31" s="471">
        <f t="shared" si="38"/>
        <v>6.0166666666666639</v>
      </c>
      <c r="AY31" s="467" t="str">
        <f t="shared" si="17"/>
        <v>Ve</v>
      </c>
      <c r="AZ31" s="7">
        <f>IF((S40="O3")*AND(S41&lt;&gt;""),VLOOKUP(S41,Échelle!$W$39:$X$65,2),)</f>
        <v>0</v>
      </c>
      <c r="BA31" s="4" t="s">
        <v>24</v>
      </c>
      <c r="BB31" s="148"/>
    </row>
    <row r="32" spans="2:54" x14ac:dyDescent="0.2">
      <c r="B32" s="403" t="s">
        <v>184</v>
      </c>
      <c r="C32" s="412" t="s">
        <v>334</v>
      </c>
      <c r="D32" s="411"/>
      <c r="E32" s="411"/>
      <c r="F32" s="401"/>
      <c r="G32" s="401"/>
      <c r="H32" s="401"/>
      <c r="I32" s="401"/>
      <c r="J32" s="401"/>
      <c r="K32" s="401"/>
      <c r="L32" s="402">
        <f>(G32-F32)+(I32-H32)+(K32-J32)</f>
        <v>0</v>
      </c>
      <c r="M32" s="402">
        <f>M31+L32</f>
        <v>0</v>
      </c>
      <c r="N32" s="402">
        <f>IF(Fév!$H$46="x",AV32+Fév!$N$34,AV32)</f>
        <v>6.0166666666666639</v>
      </c>
      <c r="O32" s="408" t="str">
        <f t="shared" si="3"/>
        <v>-</v>
      </c>
      <c r="P32" s="413">
        <f t="shared" si="4"/>
        <v>6.0166666666666639</v>
      </c>
      <c r="Q32" s="410">
        <f t="shared" si="5"/>
        <v>0</v>
      </c>
      <c r="R32" s="410">
        <f t="shared" si="6"/>
        <v>0</v>
      </c>
      <c r="S32" s="410">
        <f t="shared" si="7"/>
        <v>0</v>
      </c>
      <c r="T32" s="410">
        <f t="shared" si="8"/>
        <v>0</v>
      </c>
      <c r="U32" s="402">
        <f t="shared" si="9"/>
        <v>0</v>
      </c>
      <c r="V32" s="402">
        <f>L32</f>
        <v>0</v>
      </c>
      <c r="W32" s="402">
        <f t="shared" si="10"/>
        <v>0</v>
      </c>
      <c r="X32" s="402">
        <f t="shared" si="11"/>
        <v>0</v>
      </c>
      <c r="Y32" s="427"/>
      <c r="Z32" s="401"/>
      <c r="AA32" s="401"/>
      <c r="AB32" s="420">
        <f t="shared" si="18"/>
        <v>0</v>
      </c>
      <c r="AC32" s="420">
        <f t="shared" si="19"/>
        <v>0</v>
      </c>
      <c r="AD32" s="420">
        <f t="shared" si="20"/>
        <v>0</v>
      </c>
      <c r="AE32" s="420">
        <f t="shared" si="21"/>
        <v>0</v>
      </c>
      <c r="AF32" s="421">
        <f t="shared" si="22"/>
        <v>0</v>
      </c>
      <c r="AG32" s="420">
        <f t="shared" si="23"/>
        <v>0</v>
      </c>
      <c r="AH32" s="421">
        <f t="shared" si="24"/>
        <v>0</v>
      </c>
      <c r="AI32" s="420">
        <f t="shared" si="25"/>
        <v>0</v>
      </c>
      <c r="AJ32" s="422">
        <f>IF((D32&lt;&gt;""),VLOOKUP(D32,Données!$E$36:$H$59,4,FALSE),)</f>
        <v>0</v>
      </c>
      <c r="AK32" s="422">
        <f t="shared" si="26"/>
        <v>0</v>
      </c>
      <c r="AL32" s="423">
        <f t="shared" si="27"/>
        <v>0</v>
      </c>
      <c r="AM32" s="424">
        <f t="shared" si="28"/>
        <v>0</v>
      </c>
      <c r="AN32" s="425">
        <f t="shared" si="12"/>
        <v>0</v>
      </c>
      <c r="AO32" s="422">
        <f t="shared" si="13"/>
        <v>0</v>
      </c>
      <c r="AP32" s="426">
        <f t="shared" si="29"/>
        <v>0</v>
      </c>
      <c r="AQ32" s="426">
        <f t="shared" si="30"/>
        <v>0</v>
      </c>
      <c r="AR32" s="426">
        <f t="shared" si="31"/>
        <v>0</v>
      </c>
      <c r="AS32" s="426">
        <f t="shared" si="32"/>
        <v>0</v>
      </c>
      <c r="AT32" s="424">
        <f t="shared" si="14"/>
        <v>0</v>
      </c>
      <c r="AU32" s="424">
        <f t="shared" si="15"/>
        <v>0</v>
      </c>
      <c r="AV32" s="402">
        <f>IF(Données!$H$8="x",AW32,AX32)</f>
        <v>6.0166666666666639</v>
      </c>
      <c r="AW32" s="402">
        <f t="shared" si="1"/>
        <v>3.008333333333332</v>
      </c>
      <c r="AX32" s="402">
        <f>AX31</f>
        <v>6.0166666666666639</v>
      </c>
      <c r="AY32" s="403" t="str">
        <f t="shared" si="17"/>
        <v>Sa</v>
      </c>
      <c r="AZ32" s="423">
        <f>IF((S40="O3ir")*AND(S41&lt;&gt;""),VLOOKUP(S41,Échelle!$AU$39:$AV$65,2),)</f>
        <v>0</v>
      </c>
      <c r="BA32" s="424" t="s">
        <v>32</v>
      </c>
      <c r="BB32" s="148"/>
    </row>
    <row r="33" spans="2:54" x14ac:dyDescent="0.2">
      <c r="B33" s="403" t="s">
        <v>186</v>
      </c>
      <c r="C33" s="412" t="s">
        <v>335</v>
      </c>
      <c r="D33" s="411"/>
      <c r="E33" s="411"/>
      <c r="F33" s="401"/>
      <c r="G33" s="401"/>
      <c r="H33" s="401"/>
      <c r="I33" s="401"/>
      <c r="J33" s="401"/>
      <c r="K33" s="401"/>
      <c r="L33" s="402">
        <f>(G33-F33)+(I33-H33)+(K33-J33)</f>
        <v>0</v>
      </c>
      <c r="M33" s="402">
        <f t="shared" si="2"/>
        <v>0</v>
      </c>
      <c r="N33" s="402">
        <f>IF(Fév!$H$46="x",AV33+Fév!$N$34,AV33)</f>
        <v>6.0166666666666639</v>
      </c>
      <c r="O33" s="408" t="str">
        <f t="shared" si="3"/>
        <v>-</v>
      </c>
      <c r="P33" s="413">
        <f t="shared" si="4"/>
        <v>6.0166666666666639</v>
      </c>
      <c r="Q33" s="410">
        <f t="shared" si="5"/>
        <v>0</v>
      </c>
      <c r="R33" s="410">
        <f t="shared" si="6"/>
        <v>0</v>
      </c>
      <c r="S33" s="410">
        <f t="shared" si="7"/>
        <v>0</v>
      </c>
      <c r="T33" s="410">
        <f t="shared" si="8"/>
        <v>0</v>
      </c>
      <c r="U33" s="402">
        <f t="shared" si="9"/>
        <v>0</v>
      </c>
      <c r="V33" s="402">
        <f>L33</f>
        <v>0</v>
      </c>
      <c r="W33" s="402">
        <f t="shared" si="10"/>
        <v>0</v>
      </c>
      <c r="X33" s="402">
        <f t="shared" si="11"/>
        <v>0</v>
      </c>
      <c r="Y33" s="427"/>
      <c r="Z33" s="401"/>
      <c r="AA33" s="401"/>
      <c r="AB33" s="420">
        <f t="shared" si="18"/>
        <v>0</v>
      </c>
      <c r="AC33" s="420">
        <f t="shared" si="19"/>
        <v>0</v>
      </c>
      <c r="AD33" s="420">
        <f t="shared" si="20"/>
        <v>0</v>
      </c>
      <c r="AE33" s="420">
        <f t="shared" si="21"/>
        <v>0</v>
      </c>
      <c r="AF33" s="421">
        <f t="shared" si="22"/>
        <v>0</v>
      </c>
      <c r="AG33" s="420">
        <f t="shared" si="23"/>
        <v>0</v>
      </c>
      <c r="AH33" s="421">
        <f t="shared" si="24"/>
        <v>0</v>
      </c>
      <c r="AI33" s="420">
        <f t="shared" si="25"/>
        <v>0</v>
      </c>
      <c r="AJ33" s="422">
        <f>IF((D33&lt;&gt;""),VLOOKUP(D33,Données!$E$36:$H$59,4,FALSE),)</f>
        <v>0</v>
      </c>
      <c r="AK33" s="422">
        <f t="shared" si="26"/>
        <v>0</v>
      </c>
      <c r="AL33" s="423">
        <f t="shared" si="27"/>
        <v>0</v>
      </c>
      <c r="AM33" s="424">
        <f t="shared" si="28"/>
        <v>0</v>
      </c>
      <c r="AN33" s="425">
        <f t="shared" si="12"/>
        <v>0</v>
      </c>
      <c r="AO33" s="422">
        <f t="shared" si="13"/>
        <v>0</v>
      </c>
      <c r="AP33" s="426">
        <f t="shared" si="29"/>
        <v>0</v>
      </c>
      <c r="AQ33" s="426">
        <f t="shared" si="30"/>
        <v>0</v>
      </c>
      <c r="AR33" s="426">
        <f t="shared" si="31"/>
        <v>0</v>
      </c>
      <c r="AS33" s="426">
        <f t="shared" si="32"/>
        <v>0</v>
      </c>
      <c r="AT33" s="424">
        <f t="shared" si="14"/>
        <v>0</v>
      </c>
      <c r="AU33" s="424">
        <f t="shared" si="15"/>
        <v>0</v>
      </c>
      <c r="AV33" s="402">
        <f>IF(Données!$H$8="x",AW33,AX33)</f>
        <v>6.0166666666666639</v>
      </c>
      <c r="AW33" s="402">
        <f t="shared" si="1"/>
        <v>3.008333333333332</v>
      </c>
      <c r="AX33" s="402">
        <f>AX32</f>
        <v>6.0166666666666639</v>
      </c>
      <c r="AY33" s="403" t="str">
        <f t="shared" si="17"/>
        <v>Di</v>
      </c>
      <c r="AZ33" s="423">
        <f>IF((S40="O4")*AND(S41&lt;&gt;""),VLOOKUP(S41,Échelle!$Z$39:$AA$65,2),)</f>
        <v>0</v>
      </c>
      <c r="BA33" s="424" t="s">
        <v>25</v>
      </c>
      <c r="BB33" s="148"/>
    </row>
    <row r="34" spans="2:54" x14ac:dyDescent="0.2">
      <c r="B34" s="467" t="s">
        <v>188</v>
      </c>
      <c r="C34" s="468" t="s">
        <v>336</v>
      </c>
      <c r="D34" s="469"/>
      <c r="E34" s="469"/>
      <c r="F34" s="470"/>
      <c r="G34" s="470"/>
      <c r="H34" s="470"/>
      <c r="I34" s="470"/>
      <c r="J34" s="470"/>
      <c r="K34" s="470"/>
      <c r="L34" s="471">
        <f t="shared" ref="L34:L37" si="39">(G34-F34)+(I34-H34)+(K34-J34)+AJ34+AO34</f>
        <v>0</v>
      </c>
      <c r="M34" s="471">
        <f t="shared" si="2"/>
        <v>0</v>
      </c>
      <c r="N34" s="471">
        <f>IF(Fév!$H$46="x",AV34+Fév!$N$34,AV34)</f>
        <v>6.3333333333333304</v>
      </c>
      <c r="O34" s="483" t="str">
        <f t="shared" si="3"/>
        <v>-</v>
      </c>
      <c r="P34" s="473">
        <f t="shared" si="4"/>
        <v>6.3333333333333304</v>
      </c>
      <c r="Q34" s="474">
        <f t="shared" si="5"/>
        <v>0</v>
      </c>
      <c r="R34" s="474">
        <f t="shared" si="6"/>
        <v>0</v>
      </c>
      <c r="S34" s="474">
        <f t="shared" si="7"/>
        <v>0</v>
      </c>
      <c r="T34" s="474">
        <f t="shared" si="8"/>
        <v>0</v>
      </c>
      <c r="U34" s="471">
        <f t="shared" si="9"/>
        <v>0</v>
      </c>
      <c r="V34" s="471">
        <f t="shared" si="37"/>
        <v>0</v>
      </c>
      <c r="W34" s="471">
        <f t="shared" si="10"/>
        <v>0</v>
      </c>
      <c r="X34" s="471">
        <f t="shared" si="11"/>
        <v>0</v>
      </c>
      <c r="Y34" s="484"/>
      <c r="Z34" s="470"/>
      <c r="AA34" s="470"/>
      <c r="AB34" s="475">
        <f t="shared" si="18"/>
        <v>0</v>
      </c>
      <c r="AC34" s="475">
        <f t="shared" si="19"/>
        <v>0</v>
      </c>
      <c r="AD34" s="475">
        <f t="shared" si="20"/>
        <v>0</v>
      </c>
      <c r="AE34" s="475">
        <f t="shared" si="21"/>
        <v>0</v>
      </c>
      <c r="AF34" s="476">
        <f t="shared" si="22"/>
        <v>0</v>
      </c>
      <c r="AG34" s="475">
        <f t="shared" si="23"/>
        <v>0</v>
      </c>
      <c r="AH34" s="476">
        <f t="shared" si="24"/>
        <v>0</v>
      </c>
      <c r="AI34" s="475">
        <f t="shared" si="25"/>
        <v>0</v>
      </c>
      <c r="AJ34" s="477">
        <f>IF((D34&lt;&gt;""),VLOOKUP(D34,Données!$E$36:$H$59,4,FALSE),)</f>
        <v>0</v>
      </c>
      <c r="AK34" s="477">
        <f t="shared" si="26"/>
        <v>0</v>
      </c>
      <c r="AL34" s="478">
        <f t="shared" si="27"/>
        <v>0</v>
      </c>
      <c r="AM34" s="479">
        <f t="shared" si="28"/>
        <v>0</v>
      </c>
      <c r="AN34" s="480">
        <f t="shared" si="12"/>
        <v>0</v>
      </c>
      <c r="AO34" s="477">
        <f t="shared" si="13"/>
        <v>0</v>
      </c>
      <c r="AP34" s="481">
        <f t="shared" si="29"/>
        <v>0</v>
      </c>
      <c r="AQ34" s="481">
        <f t="shared" si="30"/>
        <v>0</v>
      </c>
      <c r="AR34" s="481">
        <f t="shared" si="31"/>
        <v>0</v>
      </c>
      <c r="AS34" s="481">
        <f t="shared" si="32"/>
        <v>0</v>
      </c>
      <c r="AT34" s="479">
        <f t="shared" si="14"/>
        <v>0</v>
      </c>
      <c r="AU34" s="479">
        <f t="shared" si="15"/>
        <v>0</v>
      </c>
      <c r="AV34" s="471">
        <f>IF(Données!$H$8="x",AW34,AX34)</f>
        <v>6.3333333333333304</v>
      </c>
      <c r="AW34" s="471">
        <f t="shared" si="1"/>
        <v>3.1666666666666652</v>
      </c>
      <c r="AX34" s="471">
        <f t="shared" si="38"/>
        <v>6.3333333333333304</v>
      </c>
      <c r="AY34" s="467" t="str">
        <f t="shared" si="17"/>
        <v>Lu</v>
      </c>
      <c r="AZ34" s="7">
        <f>IF((S40="O4bis")*AND(S41&lt;&gt;""),VLOOKUP(S41,Échelle!$BG$39:$BH$65,2),)</f>
        <v>0</v>
      </c>
      <c r="BA34" s="4" t="s">
        <v>36</v>
      </c>
      <c r="BB34" s="148"/>
    </row>
    <row r="35" spans="2:54" x14ac:dyDescent="0.2">
      <c r="B35" s="467" t="s">
        <v>176</v>
      </c>
      <c r="C35" s="468" t="s">
        <v>337</v>
      </c>
      <c r="D35" s="469"/>
      <c r="E35" s="469"/>
      <c r="F35" s="470"/>
      <c r="G35" s="470"/>
      <c r="H35" s="470"/>
      <c r="I35" s="470"/>
      <c r="J35" s="470"/>
      <c r="K35" s="470"/>
      <c r="L35" s="471">
        <f t="shared" si="39"/>
        <v>0</v>
      </c>
      <c r="M35" s="471">
        <f t="shared" si="2"/>
        <v>0</v>
      </c>
      <c r="N35" s="471">
        <f>IF(Fév!$H$46="x",AV35+Fév!$N$34,AV35)</f>
        <v>6.6499999999999968</v>
      </c>
      <c r="O35" s="483" t="str">
        <f t="shared" si="3"/>
        <v>-</v>
      </c>
      <c r="P35" s="473">
        <f t="shared" si="4"/>
        <v>6.6499999999999968</v>
      </c>
      <c r="Q35" s="474">
        <f t="shared" si="5"/>
        <v>0</v>
      </c>
      <c r="R35" s="474">
        <f t="shared" si="6"/>
        <v>0</v>
      </c>
      <c r="S35" s="474">
        <f t="shared" si="7"/>
        <v>0</v>
      </c>
      <c r="T35" s="474">
        <f t="shared" si="8"/>
        <v>0</v>
      </c>
      <c r="U35" s="471">
        <f t="shared" si="9"/>
        <v>0</v>
      </c>
      <c r="V35" s="471">
        <f t="shared" si="37"/>
        <v>0</v>
      </c>
      <c r="W35" s="471">
        <f t="shared" si="10"/>
        <v>0</v>
      </c>
      <c r="X35" s="471">
        <f t="shared" si="11"/>
        <v>0</v>
      </c>
      <c r="Y35" s="484"/>
      <c r="Z35" s="470"/>
      <c r="AA35" s="470"/>
      <c r="AB35" s="475">
        <f t="shared" si="18"/>
        <v>0</v>
      </c>
      <c r="AC35" s="475">
        <f t="shared" si="19"/>
        <v>0</v>
      </c>
      <c r="AD35" s="475">
        <f t="shared" si="20"/>
        <v>0</v>
      </c>
      <c r="AE35" s="475">
        <f t="shared" si="21"/>
        <v>0</v>
      </c>
      <c r="AF35" s="476">
        <f t="shared" si="22"/>
        <v>0</v>
      </c>
      <c r="AG35" s="475">
        <f t="shared" si="23"/>
        <v>0</v>
      </c>
      <c r="AH35" s="476">
        <f t="shared" si="24"/>
        <v>0</v>
      </c>
      <c r="AI35" s="475">
        <f t="shared" si="25"/>
        <v>0</v>
      </c>
      <c r="AJ35" s="477">
        <f>IF((D35&lt;&gt;""),VLOOKUP(D35,Données!$E$36:$H$59,4,FALSE),)</f>
        <v>0</v>
      </c>
      <c r="AK35" s="477">
        <f t="shared" si="26"/>
        <v>0</v>
      </c>
      <c r="AL35" s="478">
        <f t="shared" si="27"/>
        <v>0</v>
      </c>
      <c r="AM35" s="479">
        <f t="shared" si="28"/>
        <v>0</v>
      </c>
      <c r="AN35" s="480">
        <f t="shared" si="12"/>
        <v>0</v>
      </c>
      <c r="AO35" s="477">
        <f t="shared" si="13"/>
        <v>0</v>
      </c>
      <c r="AP35" s="481">
        <f t="shared" si="29"/>
        <v>0</v>
      </c>
      <c r="AQ35" s="481">
        <f t="shared" si="30"/>
        <v>0</v>
      </c>
      <c r="AR35" s="481">
        <f t="shared" si="31"/>
        <v>0</v>
      </c>
      <c r="AS35" s="481">
        <f t="shared" si="32"/>
        <v>0</v>
      </c>
      <c r="AT35" s="479">
        <f t="shared" si="14"/>
        <v>0</v>
      </c>
      <c r="AU35" s="479">
        <f t="shared" si="15"/>
        <v>0</v>
      </c>
      <c r="AV35" s="471">
        <f>IF(Données!$H$8="x",AW35,AX35)</f>
        <v>6.6499999999999968</v>
      </c>
      <c r="AW35" s="471">
        <f t="shared" si="1"/>
        <v>3.3249999999999984</v>
      </c>
      <c r="AX35" s="471">
        <f t="shared" si="38"/>
        <v>6.6499999999999968</v>
      </c>
      <c r="AY35" s="467" t="str">
        <f t="shared" si="17"/>
        <v>Ma</v>
      </c>
      <c r="AZ35" s="7">
        <f>IF((S40="O4bis-ir")*AND(S41&lt;&gt;""),VLOOKUP(S41,Échelle!$AO$39:$AP$65,2),)</f>
        <v>0</v>
      </c>
      <c r="BA35" s="4" t="s">
        <v>30</v>
      </c>
      <c r="BB35" s="148"/>
    </row>
    <row r="36" spans="2:54" x14ac:dyDescent="0.2">
      <c r="B36" s="467" t="s">
        <v>178</v>
      </c>
      <c r="C36" s="468" t="s">
        <v>338</v>
      </c>
      <c r="D36" s="469"/>
      <c r="E36" s="469"/>
      <c r="F36" s="470"/>
      <c r="G36" s="470"/>
      <c r="H36" s="470"/>
      <c r="I36" s="470"/>
      <c r="J36" s="470"/>
      <c r="K36" s="470"/>
      <c r="L36" s="471">
        <f t="shared" si="39"/>
        <v>0</v>
      </c>
      <c r="M36" s="471">
        <f t="shared" si="2"/>
        <v>0</v>
      </c>
      <c r="N36" s="471">
        <f>IF(Fév!$H$46="x",AV36+Fév!$N$34,AV36)</f>
        <v>6.9666666666666632</v>
      </c>
      <c r="O36" s="483" t="str">
        <f t="shared" si="3"/>
        <v>-</v>
      </c>
      <c r="P36" s="473">
        <f t="shared" si="4"/>
        <v>6.9666666666666632</v>
      </c>
      <c r="Q36" s="474">
        <f t="shared" si="5"/>
        <v>0</v>
      </c>
      <c r="R36" s="474">
        <f t="shared" si="6"/>
        <v>0</v>
      </c>
      <c r="S36" s="474">
        <f t="shared" si="7"/>
        <v>0</v>
      </c>
      <c r="T36" s="474">
        <f t="shared" si="8"/>
        <v>0</v>
      </c>
      <c r="U36" s="471">
        <f t="shared" si="9"/>
        <v>0</v>
      </c>
      <c r="V36" s="471">
        <f t="shared" si="37"/>
        <v>0</v>
      </c>
      <c r="W36" s="471">
        <f t="shared" si="10"/>
        <v>0</v>
      </c>
      <c r="X36" s="471">
        <f t="shared" si="11"/>
        <v>0</v>
      </c>
      <c r="Y36" s="484"/>
      <c r="Z36" s="470"/>
      <c r="AA36" s="470"/>
      <c r="AB36" s="475">
        <f t="shared" si="18"/>
        <v>0</v>
      </c>
      <c r="AC36" s="475">
        <f t="shared" si="19"/>
        <v>0</v>
      </c>
      <c r="AD36" s="475">
        <f t="shared" si="20"/>
        <v>0</v>
      </c>
      <c r="AE36" s="475">
        <f t="shared" si="21"/>
        <v>0</v>
      </c>
      <c r="AF36" s="476">
        <f t="shared" si="22"/>
        <v>0</v>
      </c>
      <c r="AG36" s="475">
        <f t="shared" si="23"/>
        <v>0</v>
      </c>
      <c r="AH36" s="476">
        <f t="shared" si="24"/>
        <v>0</v>
      </c>
      <c r="AI36" s="475">
        <f t="shared" si="25"/>
        <v>0</v>
      </c>
      <c r="AJ36" s="477">
        <f>IF((D36&lt;&gt;""),VLOOKUP(D36,Données!$E$36:$H$59,4,FALSE),)</f>
        <v>0</v>
      </c>
      <c r="AK36" s="477">
        <f t="shared" si="26"/>
        <v>0</v>
      </c>
      <c r="AL36" s="478">
        <f t="shared" si="27"/>
        <v>0</v>
      </c>
      <c r="AM36" s="479">
        <f t="shared" si="28"/>
        <v>0</v>
      </c>
      <c r="AN36" s="480">
        <f t="shared" si="12"/>
        <v>0</v>
      </c>
      <c r="AO36" s="477">
        <f t="shared" si="13"/>
        <v>0</v>
      </c>
      <c r="AP36" s="481">
        <f t="shared" si="29"/>
        <v>0</v>
      </c>
      <c r="AQ36" s="481">
        <f t="shared" si="30"/>
        <v>0</v>
      </c>
      <c r="AR36" s="481">
        <f t="shared" si="31"/>
        <v>0</v>
      </c>
      <c r="AS36" s="481">
        <f t="shared" si="32"/>
        <v>0</v>
      </c>
      <c r="AT36" s="479">
        <f t="shared" si="14"/>
        <v>0</v>
      </c>
      <c r="AU36" s="479">
        <f t="shared" si="15"/>
        <v>0</v>
      </c>
      <c r="AV36" s="471">
        <f>IF(Données!$H$8="x",AW36,AX36)</f>
        <v>6.9666666666666632</v>
      </c>
      <c r="AW36" s="471">
        <f t="shared" si="1"/>
        <v>3.4833333333333316</v>
      </c>
      <c r="AX36" s="471">
        <f t="shared" si="38"/>
        <v>6.9666666666666632</v>
      </c>
      <c r="AY36" s="467" t="str">
        <f t="shared" si="17"/>
        <v>Me</v>
      </c>
      <c r="AZ36" s="7">
        <f>IF((S40="O4ir")*AND(S41&lt;&gt;""),VLOOKUP(S41,Échelle!$AX$39:$AY$65,2),)</f>
        <v>0</v>
      </c>
      <c r="BA36" s="4" t="s">
        <v>33</v>
      </c>
      <c r="BB36" s="148"/>
    </row>
    <row r="37" spans="2:54" x14ac:dyDescent="0.2">
      <c r="B37" s="467" t="s">
        <v>180</v>
      </c>
      <c r="C37" s="468" t="s">
        <v>339</v>
      </c>
      <c r="D37" s="469"/>
      <c r="E37" s="469"/>
      <c r="F37" s="470"/>
      <c r="G37" s="470"/>
      <c r="H37" s="470"/>
      <c r="I37" s="470"/>
      <c r="J37" s="470"/>
      <c r="K37" s="470"/>
      <c r="L37" s="471">
        <f t="shared" si="39"/>
        <v>0</v>
      </c>
      <c r="M37" s="471">
        <f t="shared" si="2"/>
        <v>0</v>
      </c>
      <c r="N37" s="471">
        <f>IF(Fév!$H$46="x",AV37+Fév!$N$34,AV37)</f>
        <v>7.2833333333333297</v>
      </c>
      <c r="O37" s="483" t="str">
        <f t="shared" si="3"/>
        <v>-</v>
      </c>
      <c r="P37" s="473">
        <f t="shared" si="4"/>
        <v>7.2833333333333297</v>
      </c>
      <c r="Q37" s="474">
        <f t="shared" si="5"/>
        <v>0</v>
      </c>
      <c r="R37" s="474">
        <f t="shared" si="6"/>
        <v>0</v>
      </c>
      <c r="S37" s="474">
        <f t="shared" si="7"/>
        <v>0</v>
      </c>
      <c r="T37" s="474">
        <f t="shared" si="8"/>
        <v>0</v>
      </c>
      <c r="U37" s="471">
        <f t="shared" si="9"/>
        <v>0</v>
      </c>
      <c r="V37" s="471">
        <f t="shared" si="37"/>
        <v>0</v>
      </c>
      <c r="W37" s="471">
        <f t="shared" si="10"/>
        <v>0</v>
      </c>
      <c r="X37" s="471">
        <f t="shared" si="11"/>
        <v>0</v>
      </c>
      <c r="Y37" s="484"/>
      <c r="Z37" s="470"/>
      <c r="AA37" s="470"/>
      <c r="AB37" s="475">
        <f t="shared" si="18"/>
        <v>0</v>
      </c>
      <c r="AC37" s="475">
        <f t="shared" si="19"/>
        <v>0</v>
      </c>
      <c r="AD37" s="475">
        <f t="shared" si="20"/>
        <v>0</v>
      </c>
      <c r="AE37" s="475">
        <f t="shared" si="21"/>
        <v>0</v>
      </c>
      <c r="AF37" s="476">
        <f t="shared" si="22"/>
        <v>0</v>
      </c>
      <c r="AG37" s="475">
        <f t="shared" si="23"/>
        <v>0</v>
      </c>
      <c r="AH37" s="476">
        <f t="shared" si="24"/>
        <v>0</v>
      </c>
      <c r="AI37" s="475">
        <f t="shared" si="25"/>
        <v>0</v>
      </c>
      <c r="AJ37" s="477">
        <f>IF((D37&lt;&gt;""),VLOOKUP(D37,Données!$E$36:$H$59,4,FALSE),)</f>
        <v>0</v>
      </c>
      <c r="AK37" s="477">
        <f t="shared" si="26"/>
        <v>0</v>
      </c>
      <c r="AL37" s="478">
        <f t="shared" si="27"/>
        <v>0</v>
      </c>
      <c r="AM37" s="479">
        <f t="shared" si="28"/>
        <v>0</v>
      </c>
      <c r="AN37" s="480">
        <f t="shared" si="12"/>
        <v>0</v>
      </c>
      <c r="AO37" s="477">
        <f t="shared" si="13"/>
        <v>0</v>
      </c>
      <c r="AP37" s="481">
        <f t="shared" si="29"/>
        <v>0</v>
      </c>
      <c r="AQ37" s="481">
        <f t="shared" si="30"/>
        <v>0</v>
      </c>
      <c r="AR37" s="481">
        <f t="shared" si="31"/>
        <v>0</v>
      </c>
      <c r="AS37" s="481">
        <f t="shared" si="32"/>
        <v>0</v>
      </c>
      <c r="AT37" s="479">
        <f t="shared" si="14"/>
        <v>0</v>
      </c>
      <c r="AU37" s="479">
        <f t="shared" si="15"/>
        <v>0</v>
      </c>
      <c r="AV37" s="471">
        <f>IF(Données!$H$8="x",AW37,AX37)</f>
        <v>7.2833333333333297</v>
      </c>
      <c r="AW37" s="471">
        <f t="shared" si="1"/>
        <v>3.6416666666666648</v>
      </c>
      <c r="AX37" s="471">
        <f t="shared" si="38"/>
        <v>7.2833333333333297</v>
      </c>
      <c r="AY37" s="467" t="str">
        <f t="shared" si="17"/>
        <v>Je</v>
      </c>
      <c r="AZ37" s="7">
        <f>IF((S40="O5")*AND(S41&lt;&gt;""),VLOOKUP(S41,Échelle!$AC$39:$AD$65,2),)</f>
        <v>0</v>
      </c>
      <c r="BA37" s="4" t="s">
        <v>26</v>
      </c>
      <c r="BB37" s="148"/>
    </row>
    <row r="38" spans="2:54" x14ac:dyDescent="0.2">
      <c r="B38" s="32"/>
      <c r="AB38" s="200">
        <f t="shared" ref="AB38:AI38" si="40">SUM(AB7:AB37)</f>
        <v>0</v>
      </c>
      <c r="AC38" s="200">
        <f t="shared" si="40"/>
        <v>0</v>
      </c>
      <c r="AD38" s="200">
        <f t="shared" si="40"/>
        <v>0</v>
      </c>
      <c r="AE38" s="200">
        <f t="shared" si="40"/>
        <v>0</v>
      </c>
      <c r="AF38" s="200">
        <f t="shared" si="40"/>
        <v>0</v>
      </c>
      <c r="AG38" s="200">
        <f t="shared" si="40"/>
        <v>0</v>
      </c>
      <c r="AH38" s="200">
        <f t="shared" si="40"/>
        <v>0</v>
      </c>
      <c r="AI38" s="200">
        <f t="shared" si="40"/>
        <v>0</v>
      </c>
      <c r="AK38" s="200">
        <f>SUM(AK7:AK37)</f>
        <v>0</v>
      </c>
      <c r="AM38" s="4">
        <f>SUM(AM7:AM37)+AT38</f>
        <v>0</v>
      </c>
      <c r="AN38" s="39"/>
      <c r="AO38" s="7"/>
      <c r="AP38" s="4">
        <f>SUM(AP7:AP37)</f>
        <v>0</v>
      </c>
      <c r="AQ38" s="4">
        <f>SUM(AQ7:AQ37)</f>
        <v>0</v>
      </c>
      <c r="AR38" s="4">
        <f>SUM(AR7:AR37)</f>
        <v>0</v>
      </c>
      <c r="AS38" s="4">
        <f>SUM(AS7:AS37)</f>
        <v>0</v>
      </c>
      <c r="AT38" s="4">
        <f>SUM(AT7:AT37)</f>
        <v>0</v>
      </c>
      <c r="AU38" s="4">
        <f>SUM(AU7:AU37)+AT38</f>
        <v>0</v>
      </c>
      <c r="AW38" s="28"/>
      <c r="AZ38" s="7">
        <f>IF((S40="O5ir")*AND(S41&lt;&gt;""),VLOOKUP(S41,Échelle!$BA$39:$BB$65,2),)</f>
        <v>0</v>
      </c>
      <c r="BA38" s="4" t="s">
        <v>34</v>
      </c>
      <c r="BB38" s="4"/>
    </row>
    <row r="39" spans="2:54" x14ac:dyDescent="0.2">
      <c r="B39" s="32"/>
      <c r="C39" s="35" t="s">
        <v>99</v>
      </c>
      <c r="D39" s="61"/>
      <c r="E39" s="61"/>
      <c r="F39" s="35"/>
      <c r="G39" s="35"/>
      <c r="H39" s="35"/>
      <c r="W39" s="361" t="s">
        <v>215</v>
      </c>
      <c r="X39" s="362"/>
      <c r="Z39" s="211" t="s">
        <v>216</v>
      </c>
      <c r="AA39" s="387" t="s">
        <v>217</v>
      </c>
      <c r="AB39" s="200">
        <f t="shared" ref="AB39:AI39" si="41">IF((MINUTE(AB38)&gt;=30),(AB38+0.041666667),AB38)</f>
        <v>0</v>
      </c>
      <c r="AC39" s="200">
        <f t="shared" si="41"/>
        <v>0</v>
      </c>
      <c r="AD39" s="200">
        <f t="shared" si="41"/>
        <v>0</v>
      </c>
      <c r="AE39" s="200">
        <f t="shared" si="41"/>
        <v>0</v>
      </c>
      <c r="AF39" s="200">
        <f t="shared" si="41"/>
        <v>0</v>
      </c>
      <c r="AG39" s="200">
        <f t="shared" si="41"/>
        <v>0</v>
      </c>
      <c r="AH39" s="200">
        <f t="shared" si="41"/>
        <v>0</v>
      </c>
      <c r="AI39" s="200">
        <f t="shared" si="41"/>
        <v>0</v>
      </c>
      <c r="AK39" s="200">
        <f>IF((MINUTE(AK38)&gt;=30),(AK38+0.041666667),AK38)</f>
        <v>0</v>
      </c>
      <c r="AM39" s="97">
        <f>AM38*(6.7*AA40)</f>
        <v>0</v>
      </c>
      <c r="AN39" s="39">
        <f>SUM(AN7:AN37)</f>
        <v>0</v>
      </c>
      <c r="AO39" s="7"/>
      <c r="AP39" s="4"/>
      <c r="AQ39" s="4"/>
      <c r="AR39" s="4"/>
      <c r="AS39" s="4"/>
      <c r="AT39" s="4"/>
      <c r="AU39" s="4"/>
      <c r="AW39" s="28"/>
      <c r="AZ39" s="7">
        <f>IF((S40="O6")*AND(S41&lt;&gt;""),VLOOKUP(S41,Échelle!$AF$39:$AG$65,2),)</f>
        <v>0</v>
      </c>
      <c r="BA39" s="4" t="s">
        <v>27</v>
      </c>
      <c r="BB39" s="4"/>
    </row>
    <row r="40" spans="2:54" x14ac:dyDescent="0.2">
      <c r="C40" s="62" t="s">
        <v>218</v>
      </c>
      <c r="D40" s="63"/>
      <c r="E40" s="63"/>
      <c r="F40" s="65"/>
      <c r="G40" s="64"/>
      <c r="H40" s="41">
        <f>Fév!$H$43</f>
        <v>33</v>
      </c>
      <c r="J40" s="12" t="s">
        <v>340</v>
      </c>
      <c r="K40" s="13"/>
      <c r="L40" s="14"/>
      <c r="M40" s="13"/>
      <c r="N40" s="13"/>
      <c r="O40" s="13"/>
      <c r="P40" s="14"/>
      <c r="Q40" s="14"/>
      <c r="R40" s="24"/>
      <c r="S40" s="161" t="s">
        <v>6</v>
      </c>
      <c r="T40" s="359" t="s">
        <v>220</v>
      </c>
      <c r="U40" s="360"/>
      <c r="V40" s="360"/>
      <c r="W40" s="268">
        <v>1</v>
      </c>
      <c r="X40" s="267" t="s">
        <v>221</v>
      </c>
      <c r="Z40" s="214">
        <v>1.7758</v>
      </c>
      <c r="AA40" s="388">
        <f>Z40</f>
        <v>1.7758</v>
      </c>
      <c r="AB40" s="200">
        <f t="shared" ref="AB40:AI40" si="42">IF(MINUTE(AB39)&gt;0,FLOOR(AB39,0.041666667),AB39)</f>
        <v>0</v>
      </c>
      <c r="AC40" s="200">
        <f t="shared" si="42"/>
        <v>0</v>
      </c>
      <c r="AD40" s="200">
        <f t="shared" si="42"/>
        <v>0</v>
      </c>
      <c r="AE40" s="200">
        <f t="shared" si="42"/>
        <v>0</v>
      </c>
      <c r="AF40" s="200">
        <f t="shared" si="42"/>
        <v>0</v>
      </c>
      <c r="AG40" s="200">
        <f t="shared" si="42"/>
        <v>0</v>
      </c>
      <c r="AH40" s="200">
        <f t="shared" si="42"/>
        <v>0</v>
      </c>
      <c r="AI40" s="200">
        <f t="shared" si="42"/>
        <v>0</v>
      </c>
      <c r="AK40" s="222">
        <f>IF(MINUTE(AK39)&gt;0,FLOOR(AK39,0.041666667),AK39)</f>
        <v>0</v>
      </c>
      <c r="AL40" s="4"/>
      <c r="AM40" s="4"/>
      <c r="AO40" s="4"/>
      <c r="AP40" s="4"/>
      <c r="AQ40" s="4"/>
      <c r="AR40" s="4"/>
      <c r="AS40" s="4"/>
      <c r="AT40" s="4"/>
      <c r="AU40" s="4"/>
      <c r="AZ40" s="7">
        <f>IF((S40="O6ir")*AND(S41&lt;&gt;""),VLOOKUP(S41,Échelle!$BD$39:$BE$65,2),)</f>
        <v>0</v>
      </c>
      <c r="BA40" s="4" t="s">
        <v>35</v>
      </c>
      <c r="BB40" s="4"/>
    </row>
    <row r="41" spans="2:54" ht="13.5" thickBot="1" x14ac:dyDescent="0.25">
      <c r="C41" s="62" t="s">
        <v>222</v>
      </c>
      <c r="D41" s="63"/>
      <c r="E41" s="63"/>
      <c r="F41" s="65"/>
      <c r="G41" s="64"/>
      <c r="H41" s="118">
        <v>0</v>
      </c>
      <c r="J41" s="15" t="s">
        <v>341</v>
      </c>
      <c r="K41" s="16"/>
      <c r="L41" s="17"/>
      <c r="M41" s="16"/>
      <c r="N41" s="16"/>
      <c r="O41" s="16"/>
      <c r="P41" s="17"/>
      <c r="Q41" s="17"/>
      <c r="R41" s="25"/>
      <c r="S41" s="162">
        <v>20</v>
      </c>
      <c r="T41" s="363">
        <f>AZ44</f>
        <v>24661</v>
      </c>
      <c r="U41" s="364"/>
      <c r="V41" s="365"/>
      <c r="W41" s="317">
        <v>21822</v>
      </c>
      <c r="X41" s="317">
        <v>21498.68</v>
      </c>
      <c r="Z41" s="47"/>
      <c r="AA41" s="47"/>
      <c r="AF41" s="123"/>
      <c r="AG41" s="22"/>
      <c r="AH41" s="13" t="s">
        <v>229</v>
      </c>
      <c r="AI41" s="13"/>
      <c r="AJ41" s="124"/>
      <c r="AK41" s="114" t="s">
        <v>231</v>
      </c>
      <c r="AL41" s="13"/>
      <c r="AM41" s="124"/>
      <c r="AP41" s="4"/>
      <c r="AQ41" s="4"/>
      <c r="AR41" s="4"/>
      <c r="AS41" s="4"/>
      <c r="AT41" s="4"/>
      <c r="AU41" s="4"/>
      <c r="AZ41" s="7">
        <f>IF((S40="O7")*AND(S41&lt;&gt;""),VLOOKUP(S41,Échelle!$AI$39:$AJ$65,2),)</f>
        <v>0</v>
      </c>
      <c r="BA41" s="4" t="s">
        <v>28</v>
      </c>
      <c r="BB41" s="2"/>
    </row>
    <row r="42" spans="2:54" ht="13.5" thickTop="1" x14ac:dyDescent="0.2">
      <c r="C42" s="62" t="s">
        <v>224</v>
      </c>
      <c r="D42" s="228"/>
      <c r="E42" s="228"/>
      <c r="F42" s="144"/>
      <c r="G42" s="144"/>
      <c r="H42" s="115">
        <f>AN39</f>
        <v>0</v>
      </c>
      <c r="I42" s="45"/>
      <c r="J42" s="18" t="s">
        <v>225</v>
      </c>
      <c r="K42" s="4"/>
      <c r="L42" s="98"/>
      <c r="M42" s="223">
        <f>AK40</f>
        <v>0</v>
      </c>
      <c r="N42" s="35" t="s">
        <v>226</v>
      </c>
      <c r="O42" s="75"/>
      <c r="P42" s="47"/>
      <c r="Q42" s="98"/>
      <c r="R42" s="47"/>
      <c r="S42" s="114"/>
      <c r="T42" s="116"/>
      <c r="U42" s="157">
        <f>IF(X3="x",(M42*AK43/0.041666667),0)</f>
        <v>0</v>
      </c>
      <c r="V42" s="24" t="s">
        <v>227</v>
      </c>
      <c r="W42" s="160">
        <f>IF(Z3="x",(M42*AH43/0.041666667),0)</f>
        <v>0</v>
      </c>
      <c r="X42" s="24" t="s">
        <v>227</v>
      </c>
      <c r="Z42" s="216" t="s">
        <v>228</v>
      </c>
      <c r="AA42" s="217"/>
      <c r="AF42" s="45"/>
      <c r="AG42" s="283"/>
      <c r="AH42" s="21">
        <f>X41*1.2434/1850</f>
        <v>14.449437141621623</v>
      </c>
      <c r="AI42" s="21"/>
      <c r="AJ42" s="48"/>
      <c r="AK42" s="18">
        <f>T41*AA40/1850</f>
        <v>23.671893945945946</v>
      </c>
      <c r="AL42" s="21" t="s">
        <v>230</v>
      </c>
      <c r="AM42" s="48"/>
      <c r="AP42" s="4"/>
      <c r="AQ42" s="4"/>
      <c r="AR42" s="4"/>
      <c r="AS42" s="4"/>
      <c r="AT42" s="4"/>
      <c r="AU42" s="4"/>
      <c r="AZ42" s="7">
        <f>IF((S40="O8")*AND(S41&lt;&gt;""),VLOOKUP(S41,Échelle!$AL$39:$AM$68,2),)</f>
        <v>0</v>
      </c>
      <c r="BA42" s="4" t="s">
        <v>29</v>
      </c>
      <c r="BB42" s="2"/>
    </row>
    <row r="43" spans="2:54" x14ac:dyDescent="0.2">
      <c r="C43" s="62" t="s">
        <v>232</v>
      </c>
      <c r="D43" s="63"/>
      <c r="E43" s="63"/>
      <c r="F43" s="65"/>
      <c r="G43" s="303" t="s">
        <v>233</v>
      </c>
      <c r="H43" s="41">
        <f>AB43+(AB44/2)+(AB45/2)</f>
        <v>0</v>
      </c>
      <c r="J43" s="18" t="s">
        <v>234</v>
      </c>
      <c r="K43" s="4"/>
      <c r="L43" s="47"/>
      <c r="M43" s="224">
        <f>IF(Z3="x",AD40,)</f>
        <v>0</v>
      </c>
      <c r="N43" s="35" t="s">
        <v>226</v>
      </c>
      <c r="O43" s="75"/>
      <c r="P43" s="47"/>
      <c r="Q43" s="47"/>
      <c r="R43" s="47"/>
      <c r="S43" s="18"/>
      <c r="T43" s="103"/>
      <c r="U43" s="158"/>
      <c r="V43" s="26"/>
      <c r="W43" s="160">
        <f>IF(Z3="x",(M43*AH51/0.041666667),0)</f>
        <v>0</v>
      </c>
      <c r="X43" s="26" t="s">
        <v>227</v>
      </c>
      <c r="Z43" s="218" t="s">
        <v>235</v>
      </c>
      <c r="AA43" s="219"/>
      <c r="AB43" s="4">
        <f>COUNTIF(AL7:AL37,"1")</f>
        <v>0</v>
      </c>
      <c r="AE43" s="4">
        <f>M46*78</f>
        <v>0</v>
      </c>
      <c r="AF43" s="45"/>
      <c r="AG43" s="190" t="s">
        <v>155</v>
      </c>
      <c r="AH43" s="21">
        <f>AH42*0.9645*AK49/100*1.45</f>
        <v>9.8048726328815921</v>
      </c>
      <c r="AI43" s="21"/>
      <c r="AJ43" s="48"/>
      <c r="AK43" s="279">
        <f>(AK42*0.9645)*AK49/100</f>
        <v>11.077864038111635</v>
      </c>
      <c r="AL43" s="20" t="s">
        <v>236</v>
      </c>
      <c r="AM43" s="55"/>
      <c r="AP43" s="4"/>
      <c r="AQ43" s="4"/>
      <c r="AR43" s="4"/>
      <c r="AS43" s="4"/>
      <c r="AT43" s="4"/>
      <c r="AU43" s="4"/>
      <c r="AZ43" s="7">
        <f>IF((S40=Échelle!CB3)*AND(S41&lt;&gt;""),VLOOKUP(S41,Échelle!$CB$5:$CC$38,2),)</f>
        <v>0</v>
      </c>
      <c r="BA43" s="4" t="s">
        <v>237</v>
      </c>
      <c r="BB43" s="2"/>
    </row>
    <row r="44" spans="2:54" x14ac:dyDescent="0.2">
      <c r="C44" s="304"/>
      <c r="D44" s="66"/>
      <c r="E44" s="66"/>
      <c r="F44" s="67"/>
      <c r="G44" s="68"/>
      <c r="H44" s="73"/>
      <c r="J44" s="18" t="s">
        <v>238</v>
      </c>
      <c r="K44" s="46"/>
      <c r="L44" s="46"/>
      <c r="M44" s="224">
        <f>IF(X3="x",AF40,)</f>
        <v>0</v>
      </c>
      <c r="N44" s="35" t="s">
        <v>226</v>
      </c>
      <c r="O44" s="21"/>
      <c r="P44" s="21"/>
      <c r="Q44" s="21"/>
      <c r="R44" s="21"/>
      <c r="S44" s="18"/>
      <c r="T44" s="103"/>
      <c r="U44" s="158">
        <f>IF(X3="x",(M44*AK51/0.041666667),0)</f>
        <v>0</v>
      </c>
      <c r="V44" s="26" t="s">
        <v>227</v>
      </c>
      <c r="W44" s="160"/>
      <c r="X44" s="26"/>
      <c r="Z44" s="221">
        <f>AK48</f>
        <v>51.48</v>
      </c>
      <c r="AA44" s="220"/>
      <c r="AB44" s="4">
        <f>COUNTIF(AL7:AL37,"2")</f>
        <v>0</v>
      </c>
      <c r="AE44" s="4">
        <f>M47*23</f>
        <v>0</v>
      </c>
      <c r="AF44" s="53"/>
      <c r="AG44" s="20" t="s">
        <v>239</v>
      </c>
      <c r="AH44" s="197">
        <f>(W41*1.2434/1850)*0.009645*AK49</f>
        <v>6.8636749853621204</v>
      </c>
      <c r="AI44" s="197"/>
      <c r="AJ44" s="55"/>
      <c r="AK44" s="4">
        <v>1.24</v>
      </c>
      <c r="AL44" s="4" t="s">
        <v>240</v>
      </c>
      <c r="AP44" s="4"/>
      <c r="AQ44" s="4"/>
      <c r="AR44" s="4"/>
      <c r="AS44" s="4"/>
      <c r="AT44" s="4"/>
      <c r="AU44" s="4"/>
      <c r="AZ44" s="4">
        <f>SUM(AZ7:AZ43)</f>
        <v>24661</v>
      </c>
      <c r="BB44" s="2"/>
    </row>
    <row r="45" spans="2:54" x14ac:dyDescent="0.2">
      <c r="C45" s="69" t="s">
        <v>241</v>
      </c>
      <c r="D45" s="70"/>
      <c r="E45" s="70"/>
      <c r="F45" s="71"/>
      <c r="G45" s="72"/>
      <c r="H45" s="74">
        <f>H40-H43+H41+H42</f>
        <v>33</v>
      </c>
      <c r="J45" s="18" t="s">
        <v>242</v>
      </c>
      <c r="K45" s="46"/>
      <c r="L45" s="46"/>
      <c r="M45" s="224">
        <f>IF(X3="x",AG40,)</f>
        <v>0</v>
      </c>
      <c r="N45" s="35" t="s">
        <v>226</v>
      </c>
      <c r="O45" s="21"/>
      <c r="P45" s="21"/>
      <c r="Q45" s="21"/>
      <c r="R45" s="21"/>
      <c r="S45" s="18"/>
      <c r="T45" s="103"/>
      <c r="U45" s="158">
        <f>IF(X3="x",(M45*AK52/0.041666667),0)</f>
        <v>0</v>
      </c>
      <c r="V45" s="26" t="s">
        <v>227</v>
      </c>
      <c r="W45" s="160"/>
      <c r="X45" s="26"/>
      <c r="Y45" s="47"/>
      <c r="Z45" s="47"/>
      <c r="AA45" s="47"/>
      <c r="AB45" s="4">
        <f>COUNTIF(AL7:AL37,"7")</f>
        <v>0</v>
      </c>
      <c r="AG45" s="4"/>
      <c r="AH45" s="4"/>
      <c r="AI45" s="4"/>
      <c r="AK45" s="4">
        <v>2.48</v>
      </c>
      <c r="AL45" s="4" t="s">
        <v>169</v>
      </c>
      <c r="BB45" s="2"/>
    </row>
    <row r="46" spans="2:54" x14ac:dyDescent="0.2">
      <c r="J46" s="18" t="s">
        <v>243</v>
      </c>
      <c r="K46" s="4"/>
      <c r="L46" s="47"/>
      <c r="M46" s="100">
        <f>COUNTIF(Q7:Q37,"1")</f>
        <v>0</v>
      </c>
      <c r="N46" s="18" t="s">
        <v>244</v>
      </c>
      <c r="O46" s="4"/>
      <c r="P46" s="47"/>
      <c r="Q46" s="47"/>
      <c r="R46" s="47">
        <f>COUNTIF(Q7:Q37,"2")</f>
        <v>0</v>
      </c>
      <c r="S46" s="18"/>
      <c r="T46" s="153"/>
      <c r="U46" s="158">
        <f>IF(X3="x",(M46*AK45*AA40+(R46*AA40*6.2)),0)</f>
        <v>0</v>
      </c>
      <c r="V46" s="26" t="s">
        <v>227</v>
      </c>
      <c r="W46" s="158">
        <f>IF(Z3="x",(M46*AK45*AA40+(R46*AA40*6.2)),0)</f>
        <v>0</v>
      </c>
      <c r="X46" s="26" t="s">
        <v>227</v>
      </c>
      <c r="Y46" s="47"/>
      <c r="Z46" s="47"/>
      <c r="AA46" s="47"/>
      <c r="AB46" s="4" t="s">
        <v>245</v>
      </c>
      <c r="AC46" s="4"/>
      <c r="AD46" s="4"/>
      <c r="AE46" s="4"/>
      <c r="AG46" s="4"/>
      <c r="AH46" s="4"/>
      <c r="AI46" s="4"/>
      <c r="AK46" s="4">
        <v>2.48</v>
      </c>
      <c r="AL46" s="4" t="s">
        <v>170</v>
      </c>
      <c r="BB46" s="2"/>
    </row>
    <row r="47" spans="2:54" x14ac:dyDescent="0.2">
      <c r="C47" s="35" t="s">
        <v>306</v>
      </c>
      <c r="F47" s="4"/>
      <c r="G47" s="109" t="s">
        <v>247</v>
      </c>
      <c r="H47" s="109" t="s">
        <v>248</v>
      </c>
      <c r="J47" s="18" t="s">
        <v>249</v>
      </c>
      <c r="K47" s="21"/>
      <c r="L47" s="47"/>
      <c r="M47" s="100">
        <f>COUNTIF(R7:R37,"1")</f>
        <v>0</v>
      </c>
      <c r="N47" s="18" t="s">
        <v>250</v>
      </c>
      <c r="O47" s="21"/>
      <c r="P47" s="47"/>
      <c r="Q47" s="47"/>
      <c r="R47" s="47">
        <f>COUNTIF(R7:R37,"2")</f>
        <v>0</v>
      </c>
      <c r="S47" s="18"/>
      <c r="T47" s="153"/>
      <c r="U47" s="158">
        <f>IF(X3="x",(M47*AK46*AA40+(R47*AA40*6.2)),0)</f>
        <v>0</v>
      </c>
      <c r="V47" s="26" t="s">
        <v>227</v>
      </c>
      <c r="W47" s="158">
        <f>IF(Z3="x",(M47*AK46*AA40+(R47*AA40*6.2)),0)</f>
        <v>0</v>
      </c>
      <c r="X47" s="26" t="s">
        <v>227</v>
      </c>
      <c r="Y47" s="47"/>
      <c r="Z47" s="47"/>
      <c r="AA47" s="47"/>
      <c r="AB47" s="7">
        <f>IF((M37-N37-U4)&gt;0,(M37-N37-U4-G55),)</f>
        <v>0</v>
      </c>
      <c r="AC47" s="7">
        <f>IF((MINUTE(AB47)&gt;=30),(0.041666667),)</f>
        <v>0</v>
      </c>
      <c r="AD47" s="7">
        <f>AB47+AC47</f>
        <v>0</v>
      </c>
      <c r="AE47" s="7">
        <f>AD47</f>
        <v>0</v>
      </c>
      <c r="AG47" s="4"/>
      <c r="AH47" s="4"/>
      <c r="AI47" s="4"/>
      <c r="AK47" s="4">
        <v>1.74</v>
      </c>
      <c r="AL47" s="4" t="s">
        <v>251</v>
      </c>
      <c r="BB47" s="2"/>
    </row>
    <row r="48" spans="2:54" x14ac:dyDescent="0.2">
      <c r="C48" s="35" t="s">
        <v>252</v>
      </c>
      <c r="G48" s="127"/>
      <c r="H48" s="127" t="s">
        <v>117</v>
      </c>
      <c r="J48" s="18" t="s">
        <v>253</v>
      </c>
      <c r="K48" s="46"/>
      <c r="L48" s="149"/>
      <c r="M48" s="100">
        <f>COUNTIF(S7:S37,"1")</f>
        <v>0</v>
      </c>
      <c r="N48" s="18" t="s">
        <v>254</v>
      </c>
      <c r="O48" s="4"/>
      <c r="P48" s="4"/>
      <c r="Q48" s="21"/>
      <c r="R48" s="26">
        <f>COUNTIF(S7:S37,"2")</f>
        <v>0</v>
      </c>
      <c r="S48" s="4"/>
      <c r="T48" s="117"/>
      <c r="U48" s="158">
        <f>IF(X3="x",(M48*AK47*AA40+(R48*AA40*3.48)),0)</f>
        <v>0</v>
      </c>
      <c r="V48" s="26" t="s">
        <v>227</v>
      </c>
      <c r="W48" s="158">
        <f>IF(Z3="x",(M48*AK47*AA40+(R48*AA40*3.48)),0)</f>
        <v>0</v>
      </c>
      <c r="X48" s="26" t="s">
        <v>227</v>
      </c>
      <c r="AB48" s="7"/>
      <c r="AC48" s="7"/>
      <c r="AD48" s="7"/>
      <c r="AE48" s="7">
        <f>HOUR(AE47)</f>
        <v>0</v>
      </c>
      <c r="AG48" s="4"/>
      <c r="AH48" s="4"/>
      <c r="AI48" s="4"/>
      <c r="AK48" s="4">
        <f>VLOOKUP(AS48,Données!$F$74:$H$85,3)</f>
        <v>51.48</v>
      </c>
      <c r="AL48" s="4" t="s">
        <v>255</v>
      </c>
      <c r="AP48" s="385">
        <f>T41*Z40</f>
        <v>43793.003799999999</v>
      </c>
      <c r="AQ48" s="2">
        <f>AP48*0.075</f>
        <v>3284.475285</v>
      </c>
      <c r="AR48" s="2">
        <f>AP48*0.0355</f>
        <v>1554.6516348999999</v>
      </c>
      <c r="AS48" s="225">
        <f>AP48-AQ48-AR48</f>
        <v>38953.876880099997</v>
      </c>
      <c r="BB48" s="2"/>
    </row>
    <row r="49" spans="3:54" x14ac:dyDescent="0.2">
      <c r="J49" s="18" t="s">
        <v>256</v>
      </c>
      <c r="K49" s="46"/>
      <c r="L49" s="149"/>
      <c r="M49" s="100">
        <f>COUNTIF(T7:T37,"1")</f>
        <v>0</v>
      </c>
      <c r="N49" s="18" t="s">
        <v>257</v>
      </c>
      <c r="O49" s="4"/>
      <c r="P49" s="4"/>
      <c r="Q49" s="21"/>
      <c r="R49" s="26">
        <f>COUNTIF(T7:T37,"2")</f>
        <v>0</v>
      </c>
      <c r="S49" s="4"/>
      <c r="T49" s="117"/>
      <c r="U49" s="158">
        <f>IF(X3="x",(M49*AK44*AA40+(R49*AA40*2.48)),0)</f>
        <v>0</v>
      </c>
      <c r="V49" s="26" t="s">
        <v>227</v>
      </c>
      <c r="W49" s="158">
        <f>IF(Z3="x",(M49*AK44*AA40+(R49*AA40*2.48)),0)</f>
        <v>0</v>
      </c>
      <c r="X49" s="26" t="s">
        <v>227</v>
      </c>
      <c r="AB49" s="60">
        <f>HOUR(AD47)*0.041666667</f>
        <v>0</v>
      </c>
      <c r="AD49" s="7"/>
      <c r="AG49" s="4"/>
      <c r="AH49" s="4"/>
      <c r="AI49" s="4"/>
      <c r="AK49" s="4">
        <f>100-AK48</f>
        <v>48.52</v>
      </c>
      <c r="AL49" s="4" t="s">
        <v>258</v>
      </c>
      <c r="BB49" s="2"/>
    </row>
    <row r="50" spans="3:54" x14ac:dyDescent="0.2">
      <c r="C50" s="4" t="s">
        <v>259</v>
      </c>
      <c r="F50" s="4"/>
      <c r="G50" s="4"/>
      <c r="J50" s="18" t="s">
        <v>260</v>
      </c>
      <c r="K50" s="4"/>
      <c r="L50" s="21"/>
      <c r="M50" s="224">
        <f>IF(AND(G48="x",O37="+",AB47&gt;=0),AB51,0)</f>
        <v>0</v>
      </c>
      <c r="N50" s="35" t="s">
        <v>226</v>
      </c>
      <c r="O50" s="75"/>
      <c r="P50" s="47"/>
      <c r="Q50" s="47"/>
      <c r="R50" s="47"/>
      <c r="S50" s="18"/>
      <c r="T50" s="153"/>
      <c r="U50" s="158">
        <f>IF(X3="x",(M50*AK43/0.041666667),0)</f>
        <v>0</v>
      </c>
      <c r="V50" s="26" t="s">
        <v>227</v>
      </c>
      <c r="W50" s="160">
        <f>IF(Z3="x",(M50*AH44/0.041666667),0)</f>
        <v>0</v>
      </c>
      <c r="X50" s="26" t="s">
        <v>227</v>
      </c>
      <c r="AB50" s="7">
        <f>AD47-AB49</f>
        <v>0</v>
      </c>
      <c r="AD50" s="96"/>
      <c r="AG50" s="4"/>
      <c r="AH50" s="4"/>
      <c r="AI50" s="4"/>
      <c r="BB50" s="2"/>
    </row>
    <row r="51" spans="3:54" x14ac:dyDescent="0.2">
      <c r="C51" s="4" t="s">
        <v>261</v>
      </c>
      <c r="F51" s="4"/>
      <c r="G51" s="215">
        <v>0</v>
      </c>
      <c r="J51" s="18" t="s">
        <v>262</v>
      </c>
      <c r="K51" s="21"/>
      <c r="L51" s="21"/>
      <c r="M51" s="177">
        <f>AM38</f>
        <v>0</v>
      </c>
      <c r="N51" s="188" t="s">
        <v>263</v>
      </c>
      <c r="O51" s="153"/>
      <c r="P51" s="47"/>
      <c r="Q51" s="47"/>
      <c r="R51" s="47"/>
      <c r="S51" s="18"/>
      <c r="T51" s="153"/>
      <c r="U51" s="158">
        <f>IF(X3="x",AM39,0)</f>
        <v>0</v>
      </c>
      <c r="V51" s="26" t="s">
        <v>227</v>
      </c>
      <c r="W51" s="160">
        <f>IF(Z3="x",AM39,0)</f>
        <v>0</v>
      </c>
      <c r="X51" s="26" t="s">
        <v>227</v>
      </c>
      <c r="AB51" s="7">
        <f>IF(MINUTE(AB47)&gt;0,FLOOR(AE47,0.041666667),AE47)</f>
        <v>0</v>
      </c>
      <c r="AC51" s="96"/>
      <c r="AD51" s="96"/>
      <c r="AG51" s="4" t="s">
        <v>161</v>
      </c>
      <c r="AH51" s="4">
        <f>AH42*0.00325*0.9645*AK49</f>
        <v>2.1976438659907016</v>
      </c>
      <c r="AI51" s="4"/>
      <c r="AK51" s="97">
        <f>AK43/100*20</f>
        <v>2.2155728076223271</v>
      </c>
      <c r="AL51" s="4" t="s">
        <v>264</v>
      </c>
      <c r="BB51" s="2"/>
    </row>
    <row r="52" spans="3:54" x14ac:dyDescent="0.2">
      <c r="C52" s="245" t="s">
        <v>265</v>
      </c>
      <c r="J52" s="18" t="s">
        <v>266</v>
      </c>
      <c r="K52" s="47"/>
      <c r="L52" s="21"/>
      <c r="M52" s="312">
        <f>SUM(AA7:AA37)</f>
        <v>0</v>
      </c>
      <c r="N52" s="188" t="s">
        <v>267</v>
      </c>
      <c r="O52" s="21"/>
      <c r="P52" s="21"/>
      <c r="Q52" s="21"/>
      <c r="R52" s="21"/>
      <c r="S52" s="18"/>
      <c r="T52" s="187"/>
      <c r="U52" s="158">
        <f>IF(X3="x",(M52*Données!$T$13),0)</f>
        <v>0</v>
      </c>
      <c r="V52" s="26" t="s">
        <v>227</v>
      </c>
      <c r="W52" s="160">
        <f>IF(Z3="x",M52*0.2,0)</f>
        <v>0</v>
      </c>
      <c r="X52" s="26" t="s">
        <v>227</v>
      </c>
      <c r="AK52" s="97">
        <f>AK43/100*35</f>
        <v>3.8772524133390722</v>
      </c>
      <c r="AL52" s="4" t="s">
        <v>268</v>
      </c>
      <c r="BB52" s="2"/>
    </row>
    <row r="53" spans="3:54" x14ac:dyDescent="0.2">
      <c r="J53" s="18" t="s">
        <v>269</v>
      </c>
      <c r="K53" s="21"/>
      <c r="L53" s="21"/>
      <c r="M53" s="224">
        <f>AH54</f>
        <v>0</v>
      </c>
      <c r="N53" s="35" t="s">
        <v>226</v>
      </c>
      <c r="O53" s="21"/>
      <c r="P53" s="21"/>
      <c r="Q53" s="21"/>
      <c r="R53" s="21"/>
      <c r="S53" s="18"/>
      <c r="T53" s="153"/>
      <c r="U53" s="158">
        <f>IF(X3="x",(M53*AK54/0.041666667),0)</f>
        <v>0</v>
      </c>
      <c r="V53" s="26" t="s">
        <v>227</v>
      </c>
      <c r="W53" s="158">
        <f>IF(Z3="x",(M53*AK54/0.041666667),0)</f>
        <v>0</v>
      </c>
      <c r="X53" s="26" t="s">
        <v>227</v>
      </c>
      <c r="AK53" s="225"/>
      <c r="BB53" s="2"/>
    </row>
    <row r="54" spans="3:54" x14ac:dyDescent="0.2">
      <c r="C54" s="35" t="s">
        <v>270</v>
      </c>
      <c r="J54" s="18" t="s">
        <v>271</v>
      </c>
      <c r="K54" s="21"/>
      <c r="L54" s="21"/>
      <c r="M54" s="224">
        <f>AH55</f>
        <v>0</v>
      </c>
      <c r="N54" s="188" t="s">
        <v>226</v>
      </c>
      <c r="O54" s="21"/>
      <c r="P54" s="21"/>
      <c r="Q54" s="21"/>
      <c r="R54" s="21"/>
      <c r="S54" s="18"/>
      <c r="T54" s="153"/>
      <c r="U54" s="158">
        <f>IF(X3="x",(M54*AK55/0.041666667),0)</f>
        <v>0</v>
      </c>
      <c r="V54" s="26" t="s">
        <v>227</v>
      </c>
      <c r="W54" s="158">
        <f>IF(Z3="x",(M54*AK55/0.041666667),0)</f>
        <v>0</v>
      </c>
      <c r="X54" s="26" t="s">
        <v>227</v>
      </c>
      <c r="AE54" s="285">
        <f>SUM(Y7:Y37)</f>
        <v>0</v>
      </c>
      <c r="AF54" s="313">
        <f>IF(MINUTE(AE54)&gt;=30,AE54+0.041666667,AE54)</f>
        <v>0</v>
      </c>
      <c r="AG54" s="313"/>
      <c r="AH54" s="313">
        <f>IF(MINUTE(AF54)&gt;0,FLOOR(AF54,0.041666667),AF54)</f>
        <v>0</v>
      </c>
      <c r="AI54" s="313"/>
      <c r="AJ54" s="196"/>
      <c r="AK54" s="212">
        <f>AK43/24</f>
        <v>0.46157766825465146</v>
      </c>
      <c r="AL54" s="13" t="s">
        <v>272</v>
      </c>
      <c r="AM54" s="13"/>
      <c r="AN54" s="13"/>
      <c r="AO54" s="13"/>
      <c r="AP54" s="121"/>
      <c r="BB54" s="2"/>
    </row>
    <row r="55" spans="3:54" x14ac:dyDescent="0.2">
      <c r="C55" s="35" t="s">
        <v>261</v>
      </c>
      <c r="G55" s="198">
        <v>0</v>
      </c>
      <c r="J55" s="19" t="s">
        <v>273</v>
      </c>
      <c r="K55" s="20"/>
      <c r="L55" s="20"/>
      <c r="M55" s="318">
        <f>AU38</f>
        <v>0</v>
      </c>
      <c r="N55" s="20" t="s">
        <v>263</v>
      </c>
      <c r="O55" s="20"/>
      <c r="P55" s="20"/>
      <c r="Q55" s="20"/>
      <c r="R55" s="20"/>
      <c r="S55" s="19"/>
      <c r="T55" s="20"/>
      <c r="U55" s="159">
        <f>IF(X3="x",(M55*(2.81*AA40))/100*(100-Z44),0)</f>
        <v>0</v>
      </c>
      <c r="V55" s="27" t="s">
        <v>227</v>
      </c>
      <c r="W55" s="159">
        <f>IF(Z3="x",(M55*(2.81*AA40))/100*(100-Z44),0)</f>
        <v>0</v>
      </c>
      <c r="X55" s="27" t="s">
        <v>227</v>
      </c>
      <c r="AE55" s="286">
        <f>SUM(Z7:Z37)</f>
        <v>0</v>
      </c>
      <c r="AF55" s="314">
        <f>IF(MINUTE(AE55)&gt;=30,AE55+0.041666667,AE55)</f>
        <v>0</v>
      </c>
      <c r="AG55" s="314"/>
      <c r="AH55" s="314">
        <f>IF(MINUTE(AF55)&gt;0,FLOOR(AF55,0.041666667),AF55)</f>
        <v>0</v>
      </c>
      <c r="AI55" s="314"/>
      <c r="AJ55" s="197"/>
      <c r="AK55" s="213">
        <f>AK43/15</f>
        <v>0.7385242692074423</v>
      </c>
      <c r="AL55" s="20" t="s">
        <v>274</v>
      </c>
      <c r="AM55" s="20"/>
      <c r="AN55" s="20"/>
      <c r="AO55" s="20"/>
      <c r="AP55" s="119"/>
      <c r="BB55" s="2"/>
    </row>
    <row r="56" spans="3:54" x14ac:dyDescent="0.2">
      <c r="C56" s="245" t="s">
        <v>265</v>
      </c>
      <c r="E56" s="21"/>
      <c r="F56" s="47"/>
      <c r="G56" s="21"/>
      <c r="L56" s="104" t="s">
        <v>275</v>
      </c>
      <c r="M56" s="104"/>
      <c r="N56" s="19"/>
      <c r="O56" s="105"/>
      <c r="P56" s="99"/>
      <c r="Q56" s="99"/>
      <c r="R56" s="99"/>
      <c r="S56" s="19"/>
      <c r="T56" s="106"/>
      <c r="U56" s="159">
        <f>IF(X3="x",(SUM(U42:U55)),0)</f>
        <v>0</v>
      </c>
      <c r="V56" s="27" t="s">
        <v>227</v>
      </c>
      <c r="W56" s="159">
        <f>IF(Z3="x",(SUM(W42:W55)),0)</f>
        <v>0</v>
      </c>
      <c r="X56" s="27" t="s">
        <v>227</v>
      </c>
      <c r="BB56" s="2"/>
    </row>
    <row r="61" spans="3:54" x14ac:dyDescent="0.2">
      <c r="E61" s="32"/>
      <c r="F61" s="58"/>
      <c r="G61" s="32"/>
      <c r="H61" s="32"/>
      <c r="I61" s="32"/>
      <c r="J61" s="32"/>
      <c r="K61" s="32"/>
      <c r="L61" s="135"/>
      <c r="M61" s="191"/>
      <c r="N61" s="32"/>
      <c r="O61" s="30"/>
      <c r="P61" s="30"/>
      <c r="Q61" s="30"/>
      <c r="R61" s="32"/>
      <c r="S61" s="1"/>
      <c r="T61" s="1"/>
      <c r="U61" s="32"/>
      <c r="V61" s="32"/>
      <c r="W61" s="192"/>
      <c r="X61" s="2"/>
    </row>
    <row r="62" spans="3:54" x14ac:dyDescent="0.2">
      <c r="E62" s="32"/>
      <c r="F62" s="58"/>
      <c r="G62" s="32"/>
      <c r="H62" s="32"/>
      <c r="I62" s="32"/>
      <c r="J62" s="32"/>
      <c r="K62" s="32"/>
      <c r="L62" s="135"/>
      <c r="M62" s="191"/>
      <c r="N62" s="32"/>
      <c r="O62" s="30"/>
      <c r="P62" s="30"/>
      <c r="Q62" s="30"/>
      <c r="R62" s="32"/>
      <c r="S62" s="1"/>
      <c r="T62" s="1"/>
      <c r="U62" s="32"/>
      <c r="V62" s="32"/>
      <c r="W62" s="193"/>
      <c r="X62" s="4"/>
    </row>
  </sheetData>
  <sheetProtection algorithmName="SHA-512" hashValue="FQwdLjtZW8Dn6MksrdZGKJby8KE5DqGY+uX1UeRKrdsLT2CQf8pg7XtoVfjf/xC8rWkR4qsyxPEmdreWyvJ6aQ==" saltValue="jiZym7g85Z7vTM7nlCGujQ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horizontalDpi="300" verticalDpi="300" r:id="rId1"/>
  <headerFooter alignWithMargins="0"/>
  <ignoredErrors>
    <ignoredError sqref="Q7:T37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BB60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4257812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6" width="5.7109375" style="5" customWidth="1"/>
    <col min="27" max="27" width="5.85546875" style="5" bestFit="1" customWidth="1"/>
    <col min="28" max="28" width="14" style="2" hidden="1" customWidth="1"/>
    <col min="29" max="29" width="5.2851562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4" width="12" style="2" hidden="1" customWidth="1"/>
    <col min="45" max="46" width="10.42578125" style="2" hidden="1" customWidth="1"/>
    <col min="47" max="47" width="4.28515625" style="2" hidden="1" customWidth="1"/>
    <col min="48" max="48" width="7.7109375" style="39" hidden="1" customWidth="1"/>
    <col min="49" max="49" width="6.42578125" style="39" hidden="1" customWidth="1"/>
    <col min="50" max="50" width="5.7109375" style="2" hidden="1" customWidth="1"/>
    <col min="51" max="51" width="3" style="2" hidden="1" customWidth="1"/>
    <col min="52" max="52" width="5.28515625" style="4" hidden="1" customWidth="1"/>
    <col min="53" max="53" width="6.42578125" style="4" hidden="1" customWidth="1"/>
    <col min="54" max="54" width="51.7109375" customWidth="1"/>
    <col min="55" max="55" width="0" hidden="1" customWidth="1"/>
  </cols>
  <sheetData>
    <row r="1" spans="2:54" x14ac:dyDescent="0.2">
      <c r="C1" s="307"/>
      <c r="H1" s="248"/>
      <c r="X1" s="178"/>
      <c r="Y1" s="179"/>
      <c r="Z1" s="179" t="s">
        <v>110</v>
      </c>
      <c r="AA1" s="180"/>
      <c r="AD1" s="96">
        <v>0.29166666666666669</v>
      </c>
      <c r="AQ1" s="39" t="s">
        <v>111</v>
      </c>
      <c r="AR1" s="39" t="s">
        <v>112</v>
      </c>
      <c r="AS1" s="39" t="s">
        <v>113</v>
      </c>
      <c r="AT1" s="39" t="s">
        <v>114</v>
      </c>
      <c r="AU1" s="39"/>
      <c r="BB1" s="2"/>
    </row>
    <row r="2" spans="2:54" x14ac:dyDescent="0.2">
      <c r="C2" s="246"/>
      <c r="M2" s="136"/>
      <c r="N2" s="137"/>
      <c r="O2" s="137"/>
      <c r="P2" s="137"/>
      <c r="Q2" s="137"/>
      <c r="R2" s="137"/>
      <c r="S2" s="137"/>
      <c r="T2" s="137"/>
      <c r="U2" s="138"/>
      <c r="V2" s="139"/>
      <c r="X2" s="181" t="s">
        <v>115</v>
      </c>
      <c r="Y2" s="182"/>
      <c r="Z2" s="182" t="s">
        <v>116</v>
      </c>
      <c r="AA2" s="183"/>
      <c r="AC2" s="112"/>
      <c r="AD2" s="96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0"/>
      <c r="M3" s="140"/>
      <c r="N3" s="141"/>
      <c r="O3" s="141"/>
      <c r="P3" s="141"/>
      <c r="Q3" s="141"/>
      <c r="R3" s="141"/>
      <c r="S3" s="141"/>
      <c r="T3" s="141"/>
      <c r="U3" s="142"/>
      <c r="V3" s="143"/>
      <c r="X3" s="253" t="s">
        <v>117</v>
      </c>
      <c r="Y3" s="184"/>
      <c r="Z3" s="253"/>
      <c r="AA3" s="185"/>
      <c r="AD3" s="96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B4" s="277" t="s">
        <v>694</v>
      </c>
      <c r="C4" s="465" t="str">
        <f>Données!F6</f>
        <v>Memento 2022</v>
      </c>
      <c r="G4" s="4" t="s">
        <v>118</v>
      </c>
      <c r="I4" s="4"/>
      <c r="J4" s="4"/>
      <c r="K4" s="4"/>
      <c r="L4" s="4"/>
      <c r="M4" s="386">
        <f>Mar!$G$55</f>
        <v>0</v>
      </c>
      <c r="P4" s="4" t="s">
        <v>119</v>
      </c>
      <c r="Q4" s="4"/>
      <c r="R4" s="4"/>
      <c r="S4" s="4"/>
      <c r="T4" s="4"/>
      <c r="U4" s="199">
        <f>IF(Mar!$H$48="x",Mar!$U$4,Mar!$G$51)</f>
        <v>0</v>
      </c>
      <c r="AV4" s="84"/>
      <c r="AW4" s="84" t="s">
        <v>120</v>
      </c>
      <c r="AX4" s="113">
        <v>0</v>
      </c>
      <c r="AY4" s="113"/>
      <c r="BB4" s="2"/>
    </row>
    <row r="5" spans="2:54" x14ac:dyDescent="0.2">
      <c r="B5" s="81"/>
      <c r="C5" s="82"/>
      <c r="D5" s="83" t="s">
        <v>122</v>
      </c>
      <c r="E5" s="83" t="s">
        <v>123</v>
      </c>
      <c r="F5" s="90" t="s">
        <v>124</v>
      </c>
      <c r="G5" s="91"/>
      <c r="H5" s="90" t="s">
        <v>124</v>
      </c>
      <c r="I5" s="91"/>
      <c r="J5" s="90" t="s">
        <v>124</v>
      </c>
      <c r="K5" s="91"/>
      <c r="L5" s="90" t="s">
        <v>125</v>
      </c>
      <c r="M5" s="91"/>
      <c r="N5" s="84" t="s">
        <v>126</v>
      </c>
      <c r="O5" s="93" t="s">
        <v>127</v>
      </c>
      <c r="P5" s="92"/>
      <c r="Q5" s="90" t="s">
        <v>128</v>
      </c>
      <c r="R5" s="134"/>
      <c r="S5" s="134"/>
      <c r="T5" s="91"/>
      <c r="U5" s="84" t="s">
        <v>129</v>
      </c>
      <c r="V5" s="84" t="s">
        <v>130</v>
      </c>
      <c r="W5" s="84" t="s">
        <v>129</v>
      </c>
      <c r="X5" s="84" t="s">
        <v>129</v>
      </c>
      <c r="Y5" s="300"/>
      <c r="Z5" s="84" t="s">
        <v>131</v>
      </c>
      <c r="AA5" s="301" t="s">
        <v>132</v>
      </c>
      <c r="AB5" s="8" t="s">
        <v>133</v>
      </c>
      <c r="AC5" s="8" t="s">
        <v>134</v>
      </c>
      <c r="AD5" s="8" t="s">
        <v>135</v>
      </c>
      <c r="AE5" s="8" t="s">
        <v>136</v>
      </c>
      <c r="AF5" s="8" t="s">
        <v>137</v>
      </c>
      <c r="AG5" s="8" t="s">
        <v>137</v>
      </c>
      <c r="AH5" s="8" t="s">
        <v>138</v>
      </c>
      <c r="AI5" s="8" t="s">
        <v>139</v>
      </c>
      <c r="AO5" s="4"/>
      <c r="AT5" s="4" t="s">
        <v>140</v>
      </c>
      <c r="AU5" s="4"/>
      <c r="AV5" s="231" t="s">
        <v>141</v>
      </c>
      <c r="AW5" s="231" t="s">
        <v>142</v>
      </c>
      <c r="AX5" s="84" t="s">
        <v>126</v>
      </c>
      <c r="AY5" s="250"/>
      <c r="BB5" s="4"/>
    </row>
    <row r="6" spans="2:54" x14ac:dyDescent="0.2">
      <c r="B6" s="85" t="s">
        <v>143</v>
      </c>
      <c r="C6" s="86" t="s">
        <v>144</v>
      </c>
      <c r="D6" s="87" t="s">
        <v>44</v>
      </c>
      <c r="E6" s="87" t="s">
        <v>145</v>
      </c>
      <c r="F6" s="86" t="s">
        <v>44</v>
      </c>
      <c r="G6" s="86" t="s">
        <v>45</v>
      </c>
      <c r="H6" s="86" t="s">
        <v>44</v>
      </c>
      <c r="I6" s="86" t="s">
        <v>45</v>
      </c>
      <c r="J6" s="86" t="s">
        <v>44</v>
      </c>
      <c r="K6" s="86" t="s">
        <v>45</v>
      </c>
      <c r="L6" s="86" t="s">
        <v>146</v>
      </c>
      <c r="M6" s="86" t="s">
        <v>147</v>
      </c>
      <c r="N6" s="86" t="s">
        <v>148</v>
      </c>
      <c r="O6" s="94" t="s">
        <v>149</v>
      </c>
      <c r="P6" s="95"/>
      <c r="Q6" s="357" t="s">
        <v>150</v>
      </c>
      <c r="R6" s="357" t="s">
        <v>151</v>
      </c>
      <c r="S6" s="357" t="s">
        <v>152</v>
      </c>
      <c r="T6" s="357" t="s">
        <v>153</v>
      </c>
      <c r="U6" s="176" t="s">
        <v>154</v>
      </c>
      <c r="V6" s="86" t="s">
        <v>155</v>
      </c>
      <c r="W6" s="86" t="s">
        <v>156</v>
      </c>
      <c r="X6" s="195" t="s">
        <v>157</v>
      </c>
      <c r="Y6" s="88" t="s">
        <v>131</v>
      </c>
      <c r="Z6" s="86" t="s">
        <v>158</v>
      </c>
      <c r="AA6" s="302" t="s">
        <v>159</v>
      </c>
      <c r="AB6" s="9" t="s">
        <v>160</v>
      </c>
      <c r="AC6" s="9" t="s">
        <v>160</v>
      </c>
      <c r="AD6" s="9" t="s">
        <v>137</v>
      </c>
      <c r="AE6" s="9" t="s">
        <v>161</v>
      </c>
      <c r="AF6" s="9" t="s">
        <v>156</v>
      </c>
      <c r="AG6" s="278" t="s">
        <v>157</v>
      </c>
      <c r="AH6" s="8" t="s">
        <v>137</v>
      </c>
      <c r="AI6" s="8" t="s">
        <v>162</v>
      </c>
      <c r="AJ6" s="56" t="s">
        <v>163</v>
      </c>
      <c r="AK6" s="11" t="s">
        <v>164</v>
      </c>
      <c r="AL6" s="101" t="s">
        <v>165</v>
      </c>
      <c r="AM6" s="10" t="s">
        <v>166</v>
      </c>
      <c r="AN6" s="10" t="s">
        <v>167</v>
      </c>
      <c r="AO6" s="10"/>
      <c r="AP6" s="11" t="s">
        <v>168</v>
      </c>
      <c r="AQ6" s="11" t="s">
        <v>169</v>
      </c>
      <c r="AR6" s="11" t="s">
        <v>170</v>
      </c>
      <c r="AS6" s="11" t="s">
        <v>171</v>
      </c>
      <c r="AT6" s="10" t="s">
        <v>166</v>
      </c>
      <c r="AU6" s="10" t="s">
        <v>172</v>
      </c>
      <c r="AV6" s="232" t="s">
        <v>173</v>
      </c>
      <c r="AW6" s="232" t="s">
        <v>174</v>
      </c>
      <c r="AX6" s="86" t="s">
        <v>148</v>
      </c>
      <c r="AY6" s="251"/>
      <c r="AZ6" s="11"/>
      <c r="BA6" s="11"/>
      <c r="BB6" s="11" t="s">
        <v>175</v>
      </c>
    </row>
    <row r="7" spans="2:54" x14ac:dyDescent="0.2">
      <c r="B7" s="467" t="s">
        <v>182</v>
      </c>
      <c r="C7" s="485" t="s">
        <v>342</v>
      </c>
      <c r="D7" s="486"/>
      <c r="E7" s="486"/>
      <c r="F7" s="470"/>
      <c r="G7" s="470"/>
      <c r="H7" s="470"/>
      <c r="I7" s="470"/>
      <c r="J7" s="487"/>
      <c r="K7" s="487"/>
      <c r="L7" s="471">
        <f t="shared" ref="L7" si="0">(G7-F7)+(I7-H7)+(K7-J7)+AJ7+AO7</f>
        <v>0</v>
      </c>
      <c r="M7" s="488">
        <f>IF(Mar!$H$48="x",L7+Mar!$M$37+M4,L7+M4)</f>
        <v>0</v>
      </c>
      <c r="N7" s="488">
        <f>IF(Mar!$H$48="x",AV7+Mar!$N$37,AV7)</f>
        <v>7.5999999999999961</v>
      </c>
      <c r="O7" s="483" t="str">
        <f>IF((M7-N7-U$4)&lt;0,"-","+")</f>
        <v>-</v>
      </c>
      <c r="P7" s="489">
        <f>ABS(M7-N7-U$4)</f>
        <v>7.5999999999999961</v>
      </c>
      <c r="Q7" s="474">
        <f>AQ7</f>
        <v>0</v>
      </c>
      <c r="R7" s="474">
        <f>AR7</f>
        <v>0</v>
      </c>
      <c r="S7" s="474">
        <f>AS7</f>
        <v>0</v>
      </c>
      <c r="T7" s="474">
        <f>AP7</f>
        <v>0</v>
      </c>
      <c r="U7" s="488">
        <f>IF($Z$3="x",AD7,)</f>
        <v>0</v>
      </c>
      <c r="V7" s="471">
        <f t="shared" ref="V7" si="1">IF(D7="F",L7,0)</f>
        <v>0</v>
      </c>
      <c r="W7" s="471">
        <f>IF($X$3="x",AF7,)</f>
        <v>0</v>
      </c>
      <c r="X7" s="471">
        <f>IF($X$3="x",AG7,)</f>
        <v>0</v>
      </c>
      <c r="Y7" s="470"/>
      <c r="Z7" s="470"/>
      <c r="AA7" s="469"/>
      <c r="AB7" s="475">
        <f>IF((G7&gt;$AD$3)*AND(F7&lt;=$AD$3),G7-$AD$3,)+IF(F7&gt;$AD$3,G7-F7,)+IF((I7&gt;$AD$3)*AND(H7&lt;=$AD$3),I7-$AD$3,)+IF((H7&gt;$AD$3),I7-H7,)+IF((K7&gt;$AD$3)*AND(J7&lt;=$AD$3),K7-$AD$3,)+IF((J7&gt;$AD$3),K7-J7,)</f>
        <v>0</v>
      </c>
      <c r="AC7" s="475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75">
        <f>AB7+AC7</f>
        <v>0</v>
      </c>
      <c r="AE7" s="475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76">
        <f>AB7-AE7</f>
        <v>0</v>
      </c>
      <c r="AG7" s="475">
        <f>AI7+AE7</f>
        <v>0</v>
      </c>
      <c r="AH7" s="476">
        <f>AD7</f>
        <v>0</v>
      </c>
      <c r="AI7" s="475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77">
        <f>IF((D7&lt;&gt;""),VLOOKUP(D7,Données!$E$36:$H$59,4,FALSE),)</f>
        <v>0</v>
      </c>
      <c r="AK7" s="477">
        <f>IF(V7&gt;0,L7,0)</f>
        <v>0</v>
      </c>
      <c r="AL7" s="478">
        <f>IF(L7&gt;0,D7,0)</f>
        <v>0</v>
      </c>
      <c r="AM7" s="479">
        <f>IF((E7="X")*OR(E7="x"),1,0)</f>
        <v>0</v>
      </c>
      <c r="AN7" s="480">
        <f>IF(D7="F",1,)+IF((D7="JP")*AND(((G7-F7)+(I7-H7)+(K7-J7))&gt;0),1,0)</f>
        <v>0</v>
      </c>
      <c r="AO7" s="477">
        <f>IF((D7="JP")*AND(((G7-F7)+(I7-H7)+(K7-J7))=0),"07:36",0)</f>
        <v>0</v>
      </c>
      <c r="AP7" s="481">
        <f>IF((F7&lt;=$AQ$2)*AND(G7&gt;=$AQ$3),1,)+IF((H7&lt;=$AQ$2)*AND(I7&gt;=$AQ$3),1,)+IF((J7&lt;=$AQ$2)*AND(K7&gt;=$AQ$3),1,)</f>
        <v>0</v>
      </c>
      <c r="AQ7" s="481">
        <f>IF((F7&lt;=$AR$2)*AND(G7&gt;=$AR$3),1,)+IF((H7&lt;=$AR$2)*AND(I7&gt;=$AR$3),1,)+IF((J7&lt;=$AR$2)*AND(K7&gt;=$AR$3),1,)</f>
        <v>0</v>
      </c>
      <c r="AR7" s="481">
        <f>IF((F7&lt;=$AS$2)*AND(G7&gt;=$AS$3),1,)+IF((H7&lt;=$AS$2)*AND(I7&gt;=$AS$3),1,)+IF((J7&lt;=$AS$2)*AND(K7&gt;=$AS$3),1,)</f>
        <v>0</v>
      </c>
      <c r="AS7" s="481">
        <f>IF((F7=$AT$2)*AND(G7&gt;=$AT$3),1,)+IF((H7=$AT$2)*AND(I7&gt;=$AT$3),1,)+IF((J7=$AT$2)*AND(K7&gt;=$AT$3),1,)</f>
        <v>0</v>
      </c>
      <c r="AT7" s="479">
        <f>IF((E7="me")*OR(E7="ME"),1,0)</f>
        <v>0</v>
      </c>
      <c r="AU7" s="479">
        <f>IF((E7="M")*OR(E7="m"),1,0)</f>
        <v>0</v>
      </c>
      <c r="AV7" s="471">
        <f>IF(Données!$H$8="x",AW7,AX7)</f>
        <v>0.31666666666666665</v>
      </c>
      <c r="AW7" s="471">
        <f t="shared" ref="AW7" si="2">AX7/2</f>
        <v>0.15833333333333333</v>
      </c>
      <c r="AX7" s="471">
        <f>IF(D7="L",AX4,(AX4+"07:36"))</f>
        <v>0.31666666666666665</v>
      </c>
      <c r="AY7" s="467" t="str">
        <f>B7</f>
        <v>Ve</v>
      </c>
      <c r="AZ7" s="7">
        <f>IF((S39="HAU1")*AND(S40&lt;&gt;""),VLOOKUP(S40,Échelle!$Q$5:$R$31,2),)</f>
        <v>0</v>
      </c>
      <c r="BA7" s="4" t="s">
        <v>0</v>
      </c>
      <c r="BB7" s="148"/>
    </row>
    <row r="8" spans="2:54" x14ac:dyDescent="0.2">
      <c r="B8" s="403" t="s">
        <v>184</v>
      </c>
      <c r="C8" s="412" t="s">
        <v>343</v>
      </c>
      <c r="D8" s="411"/>
      <c r="E8" s="411"/>
      <c r="F8" s="401"/>
      <c r="G8" s="401"/>
      <c r="H8" s="401"/>
      <c r="I8" s="401"/>
      <c r="J8" s="406"/>
      <c r="K8" s="406"/>
      <c r="L8" s="402">
        <f>(G8-F8)+(I8-H8)+(K8-J8)</f>
        <v>0</v>
      </c>
      <c r="M8" s="407">
        <f>M7+L8</f>
        <v>0</v>
      </c>
      <c r="N8" s="407">
        <f>IF(Mar!$H$48="x",AV8+Mar!$N$37,AV8)</f>
        <v>7.5999999999999961</v>
      </c>
      <c r="O8" s="408" t="str">
        <f t="shared" ref="O8:O36" si="3">IF((M8-N8-U$4)&lt;0,"-","+")</f>
        <v>-</v>
      </c>
      <c r="P8" s="409">
        <f t="shared" ref="P8:P36" si="4">ABS(M8-N8-U$4)</f>
        <v>7.5999999999999961</v>
      </c>
      <c r="Q8" s="410">
        <f t="shared" ref="Q8:Q36" si="5">AQ8</f>
        <v>0</v>
      </c>
      <c r="R8" s="410">
        <f t="shared" ref="R8:R36" si="6">AR8</f>
        <v>0</v>
      </c>
      <c r="S8" s="410">
        <f t="shared" ref="S8:S36" si="7">AS8</f>
        <v>0</v>
      </c>
      <c r="T8" s="410">
        <f t="shared" ref="T8:T36" si="8">AP8</f>
        <v>0</v>
      </c>
      <c r="U8" s="407">
        <f t="shared" ref="U8:U36" si="9">IF($Z$3="x",AD8,)</f>
        <v>0</v>
      </c>
      <c r="V8" s="402">
        <f>L8</f>
        <v>0</v>
      </c>
      <c r="W8" s="402">
        <f t="shared" ref="W8:W36" si="10">IF($X$3="x",AF8,)</f>
        <v>0</v>
      </c>
      <c r="X8" s="402">
        <f t="shared" ref="X8:X36" si="11">IF($X$3="x",AG8,)</f>
        <v>0</v>
      </c>
      <c r="Y8" s="401"/>
      <c r="Z8" s="401"/>
      <c r="AA8" s="411"/>
      <c r="AB8" s="420">
        <f>IF((G8&gt;$AD$3)*AND(F8&lt;=$AD$3),G8-$AD$3,)+IF(F8&gt;$AD$3,G8-F8,)+IF((I8&gt;$AD$3)*AND(H8&lt;=$AD$3),I8-$AD$3,)+IF((H8&gt;$AD$3),I8-H8,)+IF((K8&gt;$AD$3)*AND(J8&lt;=$AD$3),K8-$AD$3,)+IF((J8&gt;$AD$3),K8-J8,)</f>
        <v>0</v>
      </c>
      <c r="AC8" s="420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20">
        <f>AB8+AC8</f>
        <v>0</v>
      </c>
      <c r="AE8" s="420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21">
        <f>AB8-AE8</f>
        <v>0</v>
      </c>
      <c r="AG8" s="420">
        <f>AI8+AE8</f>
        <v>0</v>
      </c>
      <c r="AH8" s="421">
        <f>AD8</f>
        <v>0</v>
      </c>
      <c r="AI8" s="420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22">
        <f>IF((D8&lt;&gt;""),VLOOKUP(D8,Données!$E$36:$H$59,4,FALSE),)</f>
        <v>0</v>
      </c>
      <c r="AK8" s="422">
        <f>IF(V8&gt;0,L8,0)</f>
        <v>0</v>
      </c>
      <c r="AL8" s="423">
        <f>IF(L8&gt;0,D8,0)</f>
        <v>0</v>
      </c>
      <c r="AM8" s="424">
        <f>IF((E8="X")*OR(E8="x"),1,0)</f>
        <v>0</v>
      </c>
      <c r="AN8" s="425">
        <f t="shared" ref="AN8:AN36" si="12">IF(D8="F",1,)+IF((D8="JP")*AND(((G8-F8)+(I8-H8)+(K8-J8))&gt;0),1,0)</f>
        <v>0</v>
      </c>
      <c r="AO8" s="422">
        <f t="shared" ref="AO8:AO36" si="13">IF((D8="JP")*AND(((G8-F8)+(I8-H8)+(K8-J8))=0),"07:36",0)</f>
        <v>0</v>
      </c>
      <c r="AP8" s="426">
        <f>IF((F8&lt;=$AQ$2)*AND(G8&gt;=$AQ$3),1,)+IF((H8&lt;=$AQ$2)*AND(I8&gt;=$AQ$3),1,)+IF((J8&lt;=$AQ$2)*AND(K8&gt;=$AQ$3),1,)</f>
        <v>0</v>
      </c>
      <c r="AQ8" s="426">
        <f>IF((F8&lt;=$AR$2)*AND(G8&gt;=$AR$3),1,)+IF((H8&lt;=$AR$2)*AND(I8&gt;=$AR$3),1,)+IF((J8&lt;=$AR$2)*AND(K8&gt;=$AR$3),1,)</f>
        <v>0</v>
      </c>
      <c r="AR8" s="426">
        <f>IF((F8&lt;=$AS$2)*AND(G8&gt;=$AS$3),1,)+IF((H8&lt;=$AS$2)*AND(I8&gt;=$AS$3),1,)+IF((J8&lt;=$AS$2)*AND(K8&gt;=$AS$3),1,)</f>
        <v>0</v>
      </c>
      <c r="AS8" s="426">
        <f>IF((F8=$AT$2)*AND(G8&gt;=$AT$3),1,)+IF((H8=$AT$2)*AND(I8&gt;=$AT$3),1,)+IF((J8=$AT$2)*AND(K8&gt;=$AT$3),1,)</f>
        <v>0</v>
      </c>
      <c r="AT8" s="424">
        <f t="shared" ref="AT8:AT36" si="14">IF((E8="me")*OR(E8="ME"),1,0)</f>
        <v>0</v>
      </c>
      <c r="AU8" s="424">
        <f t="shared" ref="AU8:AU36" si="15">IF((E8="M")*OR(E8="m"),1,0)</f>
        <v>0</v>
      </c>
      <c r="AV8" s="402">
        <f>IF(Données!$H$8="x",AW8,AX8)</f>
        <v>0.31666666666666665</v>
      </c>
      <c r="AW8" s="402">
        <f t="shared" ref="AW8:AW36" si="16">AX8/2</f>
        <v>0.15833333333333333</v>
      </c>
      <c r="AX8" s="402">
        <f>AX7</f>
        <v>0.31666666666666665</v>
      </c>
      <c r="AY8" s="403" t="str">
        <f t="shared" ref="AY8:AY36" si="17">B8</f>
        <v>Sa</v>
      </c>
      <c r="AZ8" s="423">
        <f>IF((S39="HAU2")*AND(S40&lt;&gt;""),VLOOKUP(S40,Échelle!$T$5:$U$31,2),)</f>
        <v>0</v>
      </c>
      <c r="BA8" s="424" t="s">
        <v>1</v>
      </c>
      <c r="BB8" s="148"/>
    </row>
    <row r="9" spans="2:54" x14ac:dyDescent="0.2">
      <c r="B9" s="403" t="s">
        <v>186</v>
      </c>
      <c r="C9" s="412" t="s">
        <v>344</v>
      </c>
      <c r="D9" s="411"/>
      <c r="E9" s="411"/>
      <c r="F9" s="401"/>
      <c r="G9" s="401"/>
      <c r="H9" s="401"/>
      <c r="I9" s="401"/>
      <c r="J9" s="406"/>
      <c r="K9" s="406"/>
      <c r="L9" s="402">
        <f>(G9-F9)+(I9-H9)+(K9-J9)</f>
        <v>0</v>
      </c>
      <c r="M9" s="407">
        <f t="shared" ref="M9:M34" si="18">M8+L9</f>
        <v>0</v>
      </c>
      <c r="N9" s="407">
        <f>IF(Mar!$H$48="x",AV9+Mar!$N$37,AV9)</f>
        <v>7.5999999999999961</v>
      </c>
      <c r="O9" s="408" t="str">
        <f t="shared" si="3"/>
        <v>-</v>
      </c>
      <c r="P9" s="409">
        <f t="shared" si="4"/>
        <v>7.5999999999999961</v>
      </c>
      <c r="Q9" s="410">
        <f t="shared" si="5"/>
        <v>0</v>
      </c>
      <c r="R9" s="410">
        <f t="shared" si="6"/>
        <v>0</v>
      </c>
      <c r="S9" s="410">
        <f t="shared" si="7"/>
        <v>0</v>
      </c>
      <c r="T9" s="410">
        <f t="shared" si="8"/>
        <v>0</v>
      </c>
      <c r="U9" s="407">
        <f t="shared" si="9"/>
        <v>0</v>
      </c>
      <c r="V9" s="402">
        <f>L9</f>
        <v>0</v>
      </c>
      <c r="W9" s="402">
        <f t="shared" si="10"/>
        <v>0</v>
      </c>
      <c r="X9" s="402">
        <f t="shared" si="11"/>
        <v>0</v>
      </c>
      <c r="Y9" s="401"/>
      <c r="Z9" s="401"/>
      <c r="AA9" s="411"/>
      <c r="AB9" s="420">
        <f>IF((G9&gt;$AD$3)*AND(F9&lt;=$AD$3),G9-$AD$3,)+IF(F9&gt;$AD$3,G9-F9,)+IF((I9&gt;$AD$3)*AND(H9&lt;=$AD$3),I9-$AD$3,)+IF((H9&gt;$AD$3),I9-H9,)+IF((K9&gt;$AD$3)*AND(J9&lt;=$AD$3),K9-$AD$3,)+IF((J9&gt;$AD$3),K9-J9,)</f>
        <v>0</v>
      </c>
      <c r="AC9" s="420">
        <f>IF((G9&gt;=$AD$1)*AND(F9&lt;$AD$1),($AD$1)-F9,)+IF((G9&lt;$AD$1),G9-F9,)+IF((I9&gt;=$AD$1)*AND(H9&lt;$AD$1),($AD$1)-H9,)+IF((I9&lt;$AD$1),I9-H9,)+IF((K9&gt;=$AD$1)*AND(J9&lt;$AD$1),($AD$1)-J9,)+IF((K9&lt;$AD$1),K9-J9,)</f>
        <v>0</v>
      </c>
      <c r="AD9" s="420">
        <f t="shared" ref="AD9:AD36" si="19">AB9+AC9</f>
        <v>0</v>
      </c>
      <c r="AE9" s="420">
        <f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21">
        <f t="shared" ref="AF9:AF36" si="20">AB9-AE9</f>
        <v>0</v>
      </c>
      <c r="AG9" s="420">
        <f t="shared" ref="AG9:AG36" si="21">AI9+AE9</f>
        <v>0</v>
      </c>
      <c r="AH9" s="421">
        <f t="shared" ref="AH9:AH36" si="22">AD9</f>
        <v>0</v>
      </c>
      <c r="AI9" s="420">
        <f>IF((G9&gt;=$AD$2)*AND(F9&lt;$AD$2),($AD$2)-F9,)+IF((G9&lt;$AD$2),G9-F9,)+IF((I9&gt;=$AD$2)*AND(H9&lt;$AD$2),($AD$2)-H9,)+IF((I9&lt;$AD$2),I9-H9,)+IF((K9&gt;=$AD$2)*AND(J9&lt;$AD$2),($AD$2)-J9,)+IF((K9&lt;$AD$2),K9-J9,)</f>
        <v>0</v>
      </c>
      <c r="AJ9" s="422">
        <f>IF((D9&lt;&gt;""),VLOOKUP(D9,Données!$E$36:$H$59,4,FALSE),)</f>
        <v>0</v>
      </c>
      <c r="AK9" s="422">
        <f>IF(V9&gt;0,L9,0)</f>
        <v>0</v>
      </c>
      <c r="AL9" s="423">
        <f>IF(L9&gt;0,D9,0)</f>
        <v>0</v>
      </c>
      <c r="AM9" s="424">
        <f>IF((E9="X")*OR(E9="x"),1,0)</f>
        <v>0</v>
      </c>
      <c r="AN9" s="425">
        <f>IF(D9="F",1,)+IF((D9="JP")*AND(((G9-F9)+(I9-H9)+(K9-J9))&gt;0),1,0)</f>
        <v>0</v>
      </c>
      <c r="AO9" s="422">
        <f>IF((D9="JP")*AND(((G9-F9)+(I9-H9)+(K9-J9))=0),"07:36",0)</f>
        <v>0</v>
      </c>
      <c r="AP9" s="426">
        <f>IF((F9&lt;=$AQ$2)*AND(G9&gt;=$AQ$3),1,)+IF((H9&lt;=$AQ$2)*AND(I9&gt;=$AQ$3),1,)+IF((J9&lt;=$AQ$2)*AND(K9&gt;=$AQ$3),1,)</f>
        <v>0</v>
      </c>
      <c r="AQ9" s="426">
        <f>IF((F9&lt;=$AR$2)*AND(G9&gt;=$AR$3),1,)+IF((H9&lt;=$AR$2)*AND(I9&gt;=$AR$3),1,)+IF((J9&lt;=$AR$2)*AND(K9&gt;=$AR$3),1,)</f>
        <v>0</v>
      </c>
      <c r="AR9" s="426">
        <f>IF((F9&lt;=$AS$2)*AND(G9&gt;=$AS$3),1,)+IF((H9&lt;=$AS$2)*AND(I9&gt;=$AS$3),1,)+IF((J9&lt;=$AS$2)*AND(K9&gt;=$AS$3),1,)</f>
        <v>0</v>
      </c>
      <c r="AS9" s="426">
        <f>IF((F9=$AT$2)*AND(G9&gt;=$AT$3),1,)+IF((H9=$AT$2)*AND(I9&gt;=$AT$3),1,)+IF((J9=$AT$2)*AND(K9&gt;=$AT$3),1,)</f>
        <v>0</v>
      </c>
      <c r="AT9" s="424">
        <f t="shared" si="14"/>
        <v>0</v>
      </c>
      <c r="AU9" s="424">
        <f t="shared" si="15"/>
        <v>0</v>
      </c>
      <c r="AV9" s="402">
        <f>IF(Données!$H$8="x",AW9,AX9)</f>
        <v>0.31666666666666665</v>
      </c>
      <c r="AW9" s="402">
        <f t="shared" si="16"/>
        <v>0.15833333333333333</v>
      </c>
      <c r="AX9" s="402">
        <f>AX8</f>
        <v>0.31666666666666665</v>
      </c>
      <c r="AY9" s="403" t="str">
        <f t="shared" si="17"/>
        <v>Di</v>
      </c>
      <c r="AZ9" s="423">
        <f>IF((S39="HAU3")*AND(S40&lt;&gt;""),VLOOKUP(S40,Échelle!$W$5:$X$31,2),)</f>
        <v>0</v>
      </c>
      <c r="BA9" s="424" t="s">
        <v>2</v>
      </c>
      <c r="BB9" s="148"/>
    </row>
    <row r="10" spans="2:54" x14ac:dyDescent="0.2">
      <c r="B10" s="467" t="s">
        <v>188</v>
      </c>
      <c r="C10" s="468" t="s">
        <v>345</v>
      </c>
      <c r="D10" s="469"/>
      <c r="E10" s="469"/>
      <c r="F10" s="470"/>
      <c r="G10" s="470"/>
      <c r="H10" s="470"/>
      <c r="I10" s="470"/>
      <c r="J10" s="487"/>
      <c r="K10" s="487"/>
      <c r="L10" s="471">
        <f t="shared" ref="L10:L28" si="23">(G10-F10)+(I10-H10)+(K10-J10)+AJ10+AO10</f>
        <v>0</v>
      </c>
      <c r="M10" s="488">
        <f t="shared" si="18"/>
        <v>0</v>
      </c>
      <c r="N10" s="488">
        <f>IF(Mar!$H$48="x",AV10+Mar!$N$37,AV10)</f>
        <v>7.9166666666666625</v>
      </c>
      <c r="O10" s="483" t="str">
        <f t="shared" si="3"/>
        <v>-</v>
      </c>
      <c r="P10" s="489">
        <f t="shared" si="4"/>
        <v>7.9166666666666625</v>
      </c>
      <c r="Q10" s="474">
        <f t="shared" si="5"/>
        <v>0</v>
      </c>
      <c r="R10" s="474">
        <f t="shared" si="6"/>
        <v>0</v>
      </c>
      <c r="S10" s="474">
        <f t="shared" si="7"/>
        <v>0</v>
      </c>
      <c r="T10" s="474">
        <f t="shared" si="8"/>
        <v>0</v>
      </c>
      <c r="U10" s="488">
        <f t="shared" si="9"/>
        <v>0</v>
      </c>
      <c r="V10" s="471">
        <f t="shared" ref="V10:V14" si="24">IF(D10="F",L10,0)</f>
        <v>0</v>
      </c>
      <c r="W10" s="471">
        <f t="shared" si="10"/>
        <v>0</v>
      </c>
      <c r="X10" s="471">
        <f t="shared" si="11"/>
        <v>0</v>
      </c>
      <c r="Y10" s="470"/>
      <c r="Z10" s="470"/>
      <c r="AA10" s="469"/>
      <c r="AB10" s="475">
        <f>IF((G10&gt;$AD$3)*AND(F10&lt;=$AD$3),G10-$AD$3,)+IF(F10&gt;$AD$3,G10-F10,)+IF((I10&gt;$AD$3)*AND(H10&lt;=$AD$3),I10-$AD$3,)+IF((H10&gt;$AD$3),I10-H10,)+IF((K10&gt;$AD$3)*AND(J10&lt;=$AD$3),K10-$AD$3,)+IF((J10&gt;$AD$3),K10-J10,)</f>
        <v>0</v>
      </c>
      <c r="AC10" s="475">
        <f>IF((G10&gt;=$AD$1)*AND(F10&lt;$AD$1),($AD$1)-F10,)+IF((G10&lt;$AD$1),G10-F10,)+IF((I10&gt;=$AD$1)*AND(H10&lt;$AD$1),($AD$1)-H10,)+IF((I10&lt;$AD$1),I10-H10,)+IF((K10&gt;=$AD$1)*AND(J10&lt;$AD$1),($AD$1)-J10,)+IF((K10&lt;$AD$1),K10-J10,)</f>
        <v>0</v>
      </c>
      <c r="AD10" s="475">
        <f t="shared" si="19"/>
        <v>0</v>
      </c>
      <c r="AE10" s="475">
        <f>IF((G10&gt;0.91666667)*AND(F10&gt;=0.91666667),G10-F10,)+IF((G10&gt;0.91666667)*AND(F10&lt;0.91666667),G10-0.91666667,)+IF((I10&gt;0.91666667)*AND(H10&gt;=0.91666667),I10-H10,)+IF((I10&gt;0.91666667)*AND(H10&lt;0.91666667),I10-0.91666667,)+IF((K10&gt;0.91666667)*AND(J10&gt;=0.91666667),K10-J10,)+IF((K10&gt;0.91666667)*AND(J10&lt;0.91666667),K10-0.91666667,)</f>
        <v>0</v>
      </c>
      <c r="AF10" s="476">
        <f t="shared" si="20"/>
        <v>0</v>
      </c>
      <c r="AG10" s="475">
        <f t="shared" si="21"/>
        <v>0</v>
      </c>
      <c r="AH10" s="476">
        <f t="shared" si="22"/>
        <v>0</v>
      </c>
      <c r="AI10" s="475">
        <f>IF((G10&gt;=$AD$2)*AND(F10&lt;$AD$2),($AD$2)-F10,)+IF((G10&lt;$AD$2),G10-F10,)+IF((I10&gt;=$AD$2)*AND(H10&lt;$AD$2),($AD$2)-H10,)+IF((I10&lt;$AD$2),I10-H10,)+IF((K10&gt;=$AD$2)*AND(J10&lt;$AD$2),($AD$2)-J10,)+IF((K10&lt;$AD$2),K10-J10,)</f>
        <v>0</v>
      </c>
      <c r="AJ10" s="477">
        <f>IF((D10&lt;&gt;""),VLOOKUP(D10,Données!$E$36:$H$59,4,FALSE),)</f>
        <v>0</v>
      </c>
      <c r="AK10" s="477">
        <f t="shared" ref="AK10:AK36" si="25">IF(V10&gt;0,L10,0)</f>
        <v>0</v>
      </c>
      <c r="AL10" s="478">
        <f t="shared" ref="AL10:AL36" si="26">IF(L10&gt;0,D10,0)</f>
        <v>0</v>
      </c>
      <c r="AM10" s="479">
        <f t="shared" ref="AM10:AM36" si="27">IF((E10="X")*OR(E10="x"),1,0)</f>
        <v>0</v>
      </c>
      <c r="AN10" s="480">
        <f>IF(D10="F",1,)+IF((D10="JP")*AND(((G10-F10)+(I10-H10)+(K10-J10))&gt;0),1,0)</f>
        <v>0</v>
      </c>
      <c r="AO10" s="477">
        <f>IF((D10="JP")*AND(((G10-F10)+(I10-H10)+(K10-J10))=0),"07:36",0)</f>
        <v>0</v>
      </c>
      <c r="AP10" s="481">
        <f>IF((F10&lt;=$AQ$2)*AND(G10&gt;=$AQ$3),1,)+IF((H10&lt;=$AQ$2)*AND(I10&gt;=$AQ$3),1,)+IF((J10&lt;=$AQ$2)*AND(K10&gt;=$AQ$3),1,)</f>
        <v>0</v>
      </c>
      <c r="AQ10" s="481">
        <f>IF((F10&lt;=$AR$2)*AND(G10&gt;=$AR$3),1,)+IF((H10&lt;=$AR$2)*AND(I10&gt;=$AR$3),1,)+IF((J10&lt;=$AR$2)*AND(K10&gt;=$AR$3),1,)</f>
        <v>0</v>
      </c>
      <c r="AR10" s="481">
        <f>IF((F10&lt;=$AS$2)*AND(G10&gt;=$AS$3),1,)+IF((H10&lt;=$AS$2)*AND(I10&gt;=$AS$3),1,)+IF((J10&lt;=$AS$2)*AND(K10&gt;=$AS$3),1,)</f>
        <v>0</v>
      </c>
      <c r="AS10" s="481">
        <f>IF((F10=$AT$2)*AND(G10&gt;=$AT$3),1,)+IF((H10=$AT$2)*AND(I10&gt;=$AT$3),1,)+IF((J10=$AT$2)*AND(K10&gt;=$AT$3),1,)</f>
        <v>0</v>
      </c>
      <c r="AT10" s="479">
        <f t="shared" si="14"/>
        <v>0</v>
      </c>
      <c r="AU10" s="479">
        <f t="shared" si="15"/>
        <v>0</v>
      </c>
      <c r="AV10" s="471">
        <f>IF(Données!$H$8="x",AW10,AX10)</f>
        <v>0.6333333333333333</v>
      </c>
      <c r="AW10" s="471">
        <f t="shared" si="16"/>
        <v>0.31666666666666665</v>
      </c>
      <c r="AX10" s="471">
        <f t="shared" ref="AX10:AX14" si="28">IF(D10="L",AX9,(AX9+"07:36"))</f>
        <v>0.6333333333333333</v>
      </c>
      <c r="AY10" s="467" t="str">
        <f t="shared" si="17"/>
        <v>Lu</v>
      </c>
      <c r="AZ10" s="7">
        <f>IF((S39="B1")*AND(S40&lt;&gt;""),VLOOKUP(S40,Échelle!$Z$5:$AA$31,2),)</f>
        <v>0</v>
      </c>
      <c r="BA10" s="4" t="s">
        <v>3</v>
      </c>
      <c r="BB10" s="148"/>
    </row>
    <row r="11" spans="2:54" x14ac:dyDescent="0.2">
      <c r="B11" s="467" t="s">
        <v>176</v>
      </c>
      <c r="C11" s="468" t="s">
        <v>346</v>
      </c>
      <c r="D11" s="469"/>
      <c r="E11" s="469"/>
      <c r="F11" s="470"/>
      <c r="G11" s="470"/>
      <c r="H11" s="470"/>
      <c r="I11" s="470"/>
      <c r="J11" s="487"/>
      <c r="K11" s="487"/>
      <c r="L11" s="471">
        <f t="shared" si="23"/>
        <v>0</v>
      </c>
      <c r="M11" s="488">
        <f t="shared" si="18"/>
        <v>0</v>
      </c>
      <c r="N11" s="488">
        <f>IF(Mar!$H$48="x",AV11+Mar!$N$37,AV11)</f>
        <v>8.233333333333329</v>
      </c>
      <c r="O11" s="483" t="str">
        <f t="shared" si="3"/>
        <v>-</v>
      </c>
      <c r="P11" s="489">
        <f t="shared" si="4"/>
        <v>8.233333333333329</v>
      </c>
      <c r="Q11" s="474">
        <f t="shared" si="5"/>
        <v>0</v>
      </c>
      <c r="R11" s="474">
        <f t="shared" si="6"/>
        <v>0</v>
      </c>
      <c r="S11" s="474">
        <f t="shared" si="7"/>
        <v>0</v>
      </c>
      <c r="T11" s="474">
        <f t="shared" si="8"/>
        <v>0</v>
      </c>
      <c r="U11" s="488">
        <f t="shared" si="9"/>
        <v>0</v>
      </c>
      <c r="V11" s="471">
        <f t="shared" si="24"/>
        <v>0</v>
      </c>
      <c r="W11" s="471">
        <f t="shared" si="10"/>
        <v>0</v>
      </c>
      <c r="X11" s="471">
        <f t="shared" si="11"/>
        <v>0</v>
      </c>
      <c r="Y11" s="470"/>
      <c r="Z11" s="470"/>
      <c r="AA11" s="469"/>
      <c r="AB11" s="475">
        <f t="shared" ref="AB11:AB36" si="29">IF((G11&gt;$AD$3)*AND(F11&lt;=$AD$3),G11-$AD$3,)+IF(F11&gt;$AD$3,G11-F11,)+IF((I11&gt;$AD$3)*AND(H11&lt;=$AD$3),I11-$AD$3,)+IF((H11&gt;$AD$3),I11-H11,)+IF((K11&gt;$AD$3)*AND(J11&lt;=$AD$3),K11-$AD$3,)+IF((J11&gt;$AD$3),K11-J11,)</f>
        <v>0</v>
      </c>
      <c r="AC11" s="475">
        <f t="shared" ref="AC11:AC36" si="30">IF((G11&gt;=$AD$1)*AND(F11&lt;$AD$1),($AD$1)-F11,)+IF((G11&lt;$AD$1),G11-F11,)+IF((I11&gt;=$AD$1)*AND(H11&lt;$AD$1),($AD$1)-H11,)+IF((I11&lt;$AD$1),I11-H11,)+IF((K11&gt;=$AD$1)*AND(J11&lt;$AD$1),($AD$1)-J11,)+IF((K11&lt;$AD$1),K11-J11,)</f>
        <v>0</v>
      </c>
      <c r="AD11" s="475">
        <f t="shared" si="19"/>
        <v>0</v>
      </c>
      <c r="AE11" s="475">
        <f t="shared" ref="AE11:AE36" si="31">IF((G11&gt;0.91666667)*AND(F11&gt;=0.91666667),G11-F11,)+IF((G11&gt;0.91666667)*AND(F11&lt;0.91666667),G11-0.91666667,)+IF((I11&gt;0.91666667)*AND(H11&gt;=0.91666667),I11-H11,)+IF((I11&gt;0.91666667)*AND(H11&lt;0.91666667),I11-0.91666667,)+IF((K11&gt;0.91666667)*AND(J11&gt;=0.91666667),K11-J11,)+IF((K11&gt;0.91666667)*AND(J11&lt;0.91666667),K11-0.91666667,)</f>
        <v>0</v>
      </c>
      <c r="AF11" s="476">
        <f t="shared" si="20"/>
        <v>0</v>
      </c>
      <c r="AG11" s="475">
        <f t="shared" si="21"/>
        <v>0</v>
      </c>
      <c r="AH11" s="476">
        <f t="shared" si="22"/>
        <v>0</v>
      </c>
      <c r="AI11" s="475">
        <f t="shared" ref="AI11:AI36" si="32">IF((G11&gt;=$AD$2)*AND(F11&lt;$AD$2),($AD$2)-F11,)+IF((G11&lt;$AD$2),G11-F11,)+IF((I11&gt;=$AD$2)*AND(H11&lt;$AD$2),($AD$2)-H11,)+IF((I11&lt;$AD$2),I11-H11,)+IF((K11&gt;=$AD$2)*AND(J11&lt;$AD$2),($AD$2)-J11,)+IF((K11&lt;$AD$2),K11-J11,)</f>
        <v>0</v>
      </c>
      <c r="AJ11" s="477">
        <f>IF((D11&lt;&gt;""),VLOOKUP(D11,Données!$E$36:$H$59,4,FALSE),)</f>
        <v>0</v>
      </c>
      <c r="AK11" s="477">
        <f t="shared" si="25"/>
        <v>0</v>
      </c>
      <c r="AL11" s="478">
        <f t="shared" si="26"/>
        <v>0</v>
      </c>
      <c r="AM11" s="479">
        <f t="shared" si="27"/>
        <v>0</v>
      </c>
      <c r="AN11" s="480">
        <f t="shared" si="12"/>
        <v>0</v>
      </c>
      <c r="AO11" s="477">
        <f t="shared" si="13"/>
        <v>0</v>
      </c>
      <c r="AP11" s="481">
        <f t="shared" ref="AP11:AP36" si="33">IF((F11&lt;=$AQ$2)*AND(G11&gt;=$AQ$3),1,)+IF((H11&lt;=$AQ$2)*AND(I11&gt;=$AQ$3),1,)+IF((J11&lt;=$AQ$2)*AND(K11&gt;=$AQ$3),1,)</f>
        <v>0</v>
      </c>
      <c r="AQ11" s="481">
        <f t="shared" ref="AQ11:AQ36" si="34">IF((F11&lt;=$AR$2)*AND(G11&gt;=$AR$3),1,)+IF((H11&lt;=$AR$2)*AND(I11&gt;=$AR$3),1,)+IF((J11&lt;=$AR$2)*AND(K11&gt;=$AR$3),1,)</f>
        <v>0</v>
      </c>
      <c r="AR11" s="481">
        <f t="shared" ref="AR11:AR36" si="35">IF((F11&lt;=$AS$2)*AND(G11&gt;=$AS$3),1,)+IF((H11&lt;=$AS$2)*AND(I11&gt;=$AS$3),1,)+IF((J11&lt;=$AS$2)*AND(K11&gt;=$AS$3),1,)</f>
        <v>0</v>
      </c>
      <c r="AS11" s="481">
        <f t="shared" ref="AS11:AS36" si="36">IF((F11=$AT$2)*AND(G11&gt;=$AT$3),1,)+IF((H11=$AT$2)*AND(I11&gt;=$AT$3),1,)+IF((J11=$AT$2)*AND(K11&gt;=$AT$3),1,)</f>
        <v>0</v>
      </c>
      <c r="AT11" s="479">
        <f t="shared" si="14"/>
        <v>0</v>
      </c>
      <c r="AU11" s="479">
        <f t="shared" si="15"/>
        <v>0</v>
      </c>
      <c r="AV11" s="471">
        <f>IF(Données!$H$8="x",AW11,AX11)</f>
        <v>0.95</v>
      </c>
      <c r="AW11" s="471">
        <f t="shared" si="16"/>
        <v>0.47499999999999998</v>
      </c>
      <c r="AX11" s="471">
        <f t="shared" si="28"/>
        <v>0.95</v>
      </c>
      <c r="AY11" s="467" t="str">
        <f t="shared" si="17"/>
        <v>Ma</v>
      </c>
      <c r="AZ11" s="7">
        <f>IF((S39="B2")*AND(S40&lt;&gt;""),VLOOKUP(S40,Échelle!$AC$5:$AD$31,2),)</f>
        <v>0</v>
      </c>
      <c r="BA11" s="4" t="s">
        <v>4</v>
      </c>
      <c r="BB11" s="148"/>
    </row>
    <row r="12" spans="2:54" x14ac:dyDescent="0.2">
      <c r="B12" s="467" t="s">
        <v>178</v>
      </c>
      <c r="C12" s="468" t="s">
        <v>347</v>
      </c>
      <c r="D12" s="469"/>
      <c r="E12" s="469"/>
      <c r="F12" s="470"/>
      <c r="G12" s="470"/>
      <c r="H12" s="470"/>
      <c r="I12" s="470"/>
      <c r="J12" s="487"/>
      <c r="K12" s="487"/>
      <c r="L12" s="471">
        <f t="shared" si="23"/>
        <v>0</v>
      </c>
      <c r="M12" s="488">
        <f t="shared" si="18"/>
        <v>0</v>
      </c>
      <c r="N12" s="488">
        <f>IF(Mar!$H$48="x",AV12+Mar!$N$37,AV12)</f>
        <v>8.5499999999999972</v>
      </c>
      <c r="O12" s="483" t="str">
        <f t="shared" si="3"/>
        <v>-</v>
      </c>
      <c r="P12" s="489">
        <f t="shared" si="4"/>
        <v>8.5499999999999972</v>
      </c>
      <c r="Q12" s="474">
        <f t="shared" si="5"/>
        <v>0</v>
      </c>
      <c r="R12" s="474">
        <f t="shared" si="6"/>
        <v>0</v>
      </c>
      <c r="S12" s="474">
        <f t="shared" si="7"/>
        <v>0</v>
      </c>
      <c r="T12" s="474">
        <f t="shared" si="8"/>
        <v>0</v>
      </c>
      <c r="U12" s="488">
        <f t="shared" si="9"/>
        <v>0</v>
      </c>
      <c r="V12" s="471">
        <f t="shared" si="24"/>
        <v>0</v>
      </c>
      <c r="W12" s="471">
        <f t="shared" si="10"/>
        <v>0</v>
      </c>
      <c r="X12" s="471">
        <f t="shared" si="11"/>
        <v>0</v>
      </c>
      <c r="Y12" s="470"/>
      <c r="Z12" s="470"/>
      <c r="AA12" s="469"/>
      <c r="AB12" s="475">
        <f t="shared" si="29"/>
        <v>0</v>
      </c>
      <c r="AC12" s="475">
        <f t="shared" si="30"/>
        <v>0</v>
      </c>
      <c r="AD12" s="475">
        <f t="shared" si="19"/>
        <v>0</v>
      </c>
      <c r="AE12" s="475">
        <f t="shared" si="31"/>
        <v>0</v>
      </c>
      <c r="AF12" s="476">
        <f t="shared" si="20"/>
        <v>0</v>
      </c>
      <c r="AG12" s="475">
        <f t="shared" si="21"/>
        <v>0</v>
      </c>
      <c r="AH12" s="476">
        <f t="shared" si="22"/>
        <v>0</v>
      </c>
      <c r="AI12" s="475">
        <f t="shared" si="32"/>
        <v>0</v>
      </c>
      <c r="AJ12" s="477">
        <f>IF((D12&lt;&gt;""),VLOOKUP(D12,Données!$E$36:$H$59,4,FALSE),)</f>
        <v>0</v>
      </c>
      <c r="AK12" s="477">
        <f t="shared" si="25"/>
        <v>0</v>
      </c>
      <c r="AL12" s="478">
        <f t="shared" si="26"/>
        <v>0</v>
      </c>
      <c r="AM12" s="479">
        <f t="shared" si="27"/>
        <v>0</v>
      </c>
      <c r="AN12" s="480">
        <f t="shared" si="12"/>
        <v>0</v>
      </c>
      <c r="AO12" s="477">
        <f t="shared" si="13"/>
        <v>0</v>
      </c>
      <c r="AP12" s="481">
        <f t="shared" si="33"/>
        <v>0</v>
      </c>
      <c r="AQ12" s="481">
        <f t="shared" si="34"/>
        <v>0</v>
      </c>
      <c r="AR12" s="481">
        <f t="shared" si="35"/>
        <v>0</v>
      </c>
      <c r="AS12" s="481">
        <f t="shared" si="36"/>
        <v>0</v>
      </c>
      <c r="AT12" s="479">
        <f t="shared" si="14"/>
        <v>0</v>
      </c>
      <c r="AU12" s="479">
        <f t="shared" si="15"/>
        <v>0</v>
      </c>
      <c r="AV12" s="471">
        <f>IF(Données!$H$8="x",AW12,AX12)</f>
        <v>1.2666666666666666</v>
      </c>
      <c r="AW12" s="471">
        <f t="shared" si="16"/>
        <v>0.6333333333333333</v>
      </c>
      <c r="AX12" s="471">
        <f t="shared" si="28"/>
        <v>1.2666666666666666</v>
      </c>
      <c r="AY12" s="467" t="str">
        <f t="shared" si="17"/>
        <v>Me</v>
      </c>
      <c r="AZ12" s="7">
        <f>IF((S39="B3")*AND(S40&lt;&gt;""),VLOOKUP(S40,Échelle!$AF$5:$AG$31,2),)</f>
        <v>0</v>
      </c>
      <c r="BA12" s="4" t="s">
        <v>5</v>
      </c>
      <c r="BB12" s="148"/>
    </row>
    <row r="13" spans="2:54" x14ac:dyDescent="0.2">
      <c r="B13" s="467" t="s">
        <v>180</v>
      </c>
      <c r="C13" s="468" t="s">
        <v>348</v>
      </c>
      <c r="D13" s="469"/>
      <c r="E13" s="469"/>
      <c r="F13" s="470"/>
      <c r="G13" s="470"/>
      <c r="H13" s="470"/>
      <c r="I13" s="470"/>
      <c r="J13" s="487"/>
      <c r="K13" s="487"/>
      <c r="L13" s="471">
        <f t="shared" si="23"/>
        <v>0</v>
      </c>
      <c r="M13" s="488">
        <f t="shared" si="18"/>
        <v>0</v>
      </c>
      <c r="N13" s="488">
        <f>IF(Mar!$H$48="x",AV13+Mar!$N$37,AV13)</f>
        <v>8.8666666666666636</v>
      </c>
      <c r="O13" s="483" t="str">
        <f t="shared" si="3"/>
        <v>-</v>
      </c>
      <c r="P13" s="489">
        <f t="shared" si="4"/>
        <v>8.8666666666666636</v>
      </c>
      <c r="Q13" s="474">
        <f t="shared" si="5"/>
        <v>0</v>
      </c>
      <c r="R13" s="474">
        <f t="shared" si="6"/>
        <v>0</v>
      </c>
      <c r="S13" s="474">
        <f t="shared" si="7"/>
        <v>0</v>
      </c>
      <c r="T13" s="474">
        <f t="shared" si="8"/>
        <v>0</v>
      </c>
      <c r="U13" s="488">
        <f t="shared" si="9"/>
        <v>0</v>
      </c>
      <c r="V13" s="471">
        <f t="shared" si="24"/>
        <v>0</v>
      </c>
      <c r="W13" s="471">
        <f t="shared" si="10"/>
        <v>0</v>
      </c>
      <c r="X13" s="471">
        <f t="shared" si="11"/>
        <v>0</v>
      </c>
      <c r="Y13" s="470"/>
      <c r="Z13" s="470"/>
      <c r="AA13" s="469"/>
      <c r="AB13" s="475">
        <f t="shared" si="29"/>
        <v>0</v>
      </c>
      <c r="AC13" s="475">
        <f t="shared" si="30"/>
        <v>0</v>
      </c>
      <c r="AD13" s="475">
        <f t="shared" si="19"/>
        <v>0</v>
      </c>
      <c r="AE13" s="475">
        <f t="shared" si="31"/>
        <v>0</v>
      </c>
      <c r="AF13" s="476">
        <f t="shared" si="20"/>
        <v>0</v>
      </c>
      <c r="AG13" s="475">
        <f t="shared" si="21"/>
        <v>0</v>
      </c>
      <c r="AH13" s="476">
        <f t="shared" si="22"/>
        <v>0</v>
      </c>
      <c r="AI13" s="475">
        <f t="shared" si="32"/>
        <v>0</v>
      </c>
      <c r="AJ13" s="477">
        <f>IF((D13&lt;&gt;""),VLOOKUP(D13,Données!$E$36:$H$59,4,FALSE),)</f>
        <v>0</v>
      </c>
      <c r="AK13" s="477">
        <f t="shared" si="25"/>
        <v>0</v>
      </c>
      <c r="AL13" s="478">
        <f t="shared" si="26"/>
        <v>0</v>
      </c>
      <c r="AM13" s="479">
        <f t="shared" si="27"/>
        <v>0</v>
      </c>
      <c r="AN13" s="480">
        <f t="shared" si="12"/>
        <v>0</v>
      </c>
      <c r="AO13" s="477">
        <f t="shared" si="13"/>
        <v>0</v>
      </c>
      <c r="AP13" s="481">
        <f t="shared" si="33"/>
        <v>0</v>
      </c>
      <c r="AQ13" s="481">
        <f t="shared" si="34"/>
        <v>0</v>
      </c>
      <c r="AR13" s="481">
        <f t="shared" si="35"/>
        <v>0</v>
      </c>
      <c r="AS13" s="481">
        <f t="shared" si="36"/>
        <v>0</v>
      </c>
      <c r="AT13" s="479">
        <f t="shared" si="14"/>
        <v>0</v>
      </c>
      <c r="AU13" s="479">
        <f t="shared" si="15"/>
        <v>0</v>
      </c>
      <c r="AV13" s="471">
        <f>IF(Données!$H$8="x",AW13,AX13)</f>
        <v>1.5833333333333333</v>
      </c>
      <c r="AW13" s="471">
        <f t="shared" si="16"/>
        <v>0.79166666666666663</v>
      </c>
      <c r="AX13" s="471">
        <f t="shared" si="28"/>
        <v>1.5833333333333333</v>
      </c>
      <c r="AY13" s="467" t="str">
        <f t="shared" si="17"/>
        <v>Je</v>
      </c>
      <c r="AZ13" s="7">
        <f>IF((S39="B4")*AND(S40&lt;&gt;""),VLOOKUP(S40,Échelle!$AI$5:$AJ$34,2),)</f>
        <v>24661</v>
      </c>
      <c r="BA13" s="4" t="s">
        <v>6</v>
      </c>
      <c r="BB13" s="148"/>
    </row>
    <row r="14" spans="2:54" x14ac:dyDescent="0.2">
      <c r="B14" s="467" t="s">
        <v>182</v>
      </c>
      <c r="C14" s="485" t="s">
        <v>349</v>
      </c>
      <c r="D14" s="486"/>
      <c r="E14" s="486"/>
      <c r="F14" s="470"/>
      <c r="G14" s="470"/>
      <c r="H14" s="470"/>
      <c r="I14" s="470"/>
      <c r="J14" s="487"/>
      <c r="K14" s="487"/>
      <c r="L14" s="471">
        <f t="shared" si="23"/>
        <v>0</v>
      </c>
      <c r="M14" s="488">
        <f>M13+L14</f>
        <v>0</v>
      </c>
      <c r="N14" s="488">
        <f>IF(Mar!$H$48="x",AV14+Mar!$N$37,AV14)</f>
        <v>9.18333333333333</v>
      </c>
      <c r="O14" s="483" t="str">
        <f t="shared" si="3"/>
        <v>-</v>
      </c>
      <c r="P14" s="489">
        <f t="shared" si="4"/>
        <v>9.18333333333333</v>
      </c>
      <c r="Q14" s="474">
        <f t="shared" si="5"/>
        <v>0</v>
      </c>
      <c r="R14" s="474">
        <f t="shared" si="6"/>
        <v>0</v>
      </c>
      <c r="S14" s="474">
        <f t="shared" si="7"/>
        <v>0</v>
      </c>
      <c r="T14" s="474">
        <f t="shared" si="8"/>
        <v>0</v>
      </c>
      <c r="U14" s="488">
        <f t="shared" si="9"/>
        <v>0</v>
      </c>
      <c r="V14" s="471">
        <f t="shared" si="24"/>
        <v>0</v>
      </c>
      <c r="W14" s="471">
        <f t="shared" si="10"/>
        <v>0</v>
      </c>
      <c r="X14" s="471">
        <f t="shared" si="11"/>
        <v>0</v>
      </c>
      <c r="Y14" s="470"/>
      <c r="Z14" s="470"/>
      <c r="AA14" s="469"/>
      <c r="AB14" s="475">
        <f t="shared" si="29"/>
        <v>0</v>
      </c>
      <c r="AC14" s="475">
        <f t="shared" si="30"/>
        <v>0</v>
      </c>
      <c r="AD14" s="475">
        <f t="shared" si="19"/>
        <v>0</v>
      </c>
      <c r="AE14" s="475">
        <f t="shared" si="31"/>
        <v>0</v>
      </c>
      <c r="AF14" s="476">
        <f t="shared" si="20"/>
        <v>0</v>
      </c>
      <c r="AG14" s="475">
        <f t="shared" si="21"/>
        <v>0</v>
      </c>
      <c r="AH14" s="476">
        <f t="shared" si="22"/>
        <v>0</v>
      </c>
      <c r="AI14" s="475">
        <f t="shared" si="32"/>
        <v>0</v>
      </c>
      <c r="AJ14" s="477">
        <f>IF((D14&lt;&gt;""),VLOOKUP(D14,Données!$E$36:$H$59,4,FALSE),)</f>
        <v>0</v>
      </c>
      <c r="AK14" s="477">
        <f t="shared" si="25"/>
        <v>0</v>
      </c>
      <c r="AL14" s="478">
        <f t="shared" si="26"/>
        <v>0</v>
      </c>
      <c r="AM14" s="479">
        <f t="shared" si="27"/>
        <v>0</v>
      </c>
      <c r="AN14" s="480">
        <f t="shared" si="12"/>
        <v>0</v>
      </c>
      <c r="AO14" s="477">
        <f t="shared" si="13"/>
        <v>0</v>
      </c>
      <c r="AP14" s="481">
        <f t="shared" si="33"/>
        <v>0</v>
      </c>
      <c r="AQ14" s="481">
        <f t="shared" si="34"/>
        <v>0</v>
      </c>
      <c r="AR14" s="481">
        <f t="shared" si="35"/>
        <v>0</v>
      </c>
      <c r="AS14" s="481">
        <f t="shared" si="36"/>
        <v>0</v>
      </c>
      <c r="AT14" s="479">
        <f t="shared" si="14"/>
        <v>0</v>
      </c>
      <c r="AU14" s="479">
        <f t="shared" si="15"/>
        <v>0</v>
      </c>
      <c r="AV14" s="471">
        <f>IF(Données!$H$8="x",AW14,AX14)</f>
        <v>1.9</v>
      </c>
      <c r="AW14" s="471">
        <f t="shared" si="16"/>
        <v>0.95</v>
      </c>
      <c r="AX14" s="471">
        <f t="shared" si="28"/>
        <v>1.9</v>
      </c>
      <c r="AY14" s="467" t="str">
        <f t="shared" si="17"/>
        <v>Ve</v>
      </c>
      <c r="AZ14" s="7">
        <f>IF((S39="B5")*AND(S40&lt;&gt;""),VLOOKUP(S40,Échelle!$AL$5:$AM$34,2),)</f>
        <v>0</v>
      </c>
      <c r="BA14" s="4" t="s">
        <v>7</v>
      </c>
      <c r="BB14" s="148"/>
    </row>
    <row r="15" spans="2:54" x14ac:dyDescent="0.2">
      <c r="B15" s="403" t="s">
        <v>184</v>
      </c>
      <c r="C15" s="412" t="s">
        <v>350</v>
      </c>
      <c r="D15" s="411"/>
      <c r="E15" s="411"/>
      <c r="F15" s="401"/>
      <c r="G15" s="401"/>
      <c r="H15" s="401"/>
      <c r="I15" s="401"/>
      <c r="J15" s="406"/>
      <c r="K15" s="406"/>
      <c r="L15" s="402">
        <f>(G15-F15)+(I15-H15)+(K15-J15)</f>
        <v>0</v>
      </c>
      <c r="M15" s="407">
        <f>M14+L15</f>
        <v>0</v>
      </c>
      <c r="N15" s="407">
        <f>IF(Mar!$H$48="x",AV15+Mar!$N$37,AV15)</f>
        <v>9.18333333333333</v>
      </c>
      <c r="O15" s="408" t="str">
        <f t="shared" si="3"/>
        <v>-</v>
      </c>
      <c r="P15" s="409">
        <f t="shared" si="4"/>
        <v>9.18333333333333</v>
      </c>
      <c r="Q15" s="410">
        <f t="shared" si="5"/>
        <v>0</v>
      </c>
      <c r="R15" s="410">
        <f t="shared" si="6"/>
        <v>0</v>
      </c>
      <c r="S15" s="410">
        <f t="shared" si="7"/>
        <v>0</v>
      </c>
      <c r="T15" s="410">
        <f t="shared" si="8"/>
        <v>0</v>
      </c>
      <c r="U15" s="407">
        <f t="shared" si="9"/>
        <v>0</v>
      </c>
      <c r="V15" s="402">
        <f>L15</f>
        <v>0</v>
      </c>
      <c r="W15" s="402">
        <f t="shared" si="10"/>
        <v>0</v>
      </c>
      <c r="X15" s="402">
        <f t="shared" si="11"/>
        <v>0</v>
      </c>
      <c r="Y15" s="401"/>
      <c r="Z15" s="401"/>
      <c r="AA15" s="411"/>
      <c r="AB15" s="420">
        <f t="shared" si="29"/>
        <v>0</v>
      </c>
      <c r="AC15" s="420">
        <f t="shared" si="30"/>
        <v>0</v>
      </c>
      <c r="AD15" s="420">
        <f t="shared" si="19"/>
        <v>0</v>
      </c>
      <c r="AE15" s="420">
        <f t="shared" si="31"/>
        <v>0</v>
      </c>
      <c r="AF15" s="421">
        <f t="shared" si="20"/>
        <v>0</v>
      </c>
      <c r="AG15" s="420">
        <f t="shared" si="21"/>
        <v>0</v>
      </c>
      <c r="AH15" s="421">
        <f t="shared" si="22"/>
        <v>0</v>
      </c>
      <c r="AI15" s="420">
        <f t="shared" si="32"/>
        <v>0</v>
      </c>
      <c r="AJ15" s="422">
        <f>IF((D15&lt;&gt;""),VLOOKUP(D15,Données!$E$36:$H$59,4,FALSE),)</f>
        <v>0</v>
      </c>
      <c r="AK15" s="422">
        <f t="shared" si="25"/>
        <v>0</v>
      </c>
      <c r="AL15" s="423">
        <f t="shared" si="26"/>
        <v>0</v>
      </c>
      <c r="AM15" s="424">
        <f t="shared" si="27"/>
        <v>0</v>
      </c>
      <c r="AN15" s="425">
        <f t="shared" si="12"/>
        <v>0</v>
      </c>
      <c r="AO15" s="422">
        <f t="shared" si="13"/>
        <v>0</v>
      </c>
      <c r="AP15" s="426">
        <f t="shared" si="33"/>
        <v>0</v>
      </c>
      <c r="AQ15" s="426">
        <f t="shared" si="34"/>
        <v>0</v>
      </c>
      <c r="AR15" s="426">
        <f t="shared" si="35"/>
        <v>0</v>
      </c>
      <c r="AS15" s="426">
        <f t="shared" si="36"/>
        <v>0</v>
      </c>
      <c r="AT15" s="424">
        <f t="shared" si="14"/>
        <v>0</v>
      </c>
      <c r="AU15" s="424">
        <f t="shared" si="15"/>
        <v>0</v>
      </c>
      <c r="AV15" s="402">
        <f>IF(Données!$H$8="x",AW15,AX15)</f>
        <v>1.9</v>
      </c>
      <c r="AW15" s="402">
        <f t="shared" si="16"/>
        <v>0.95</v>
      </c>
      <c r="AX15" s="402">
        <f>AX14</f>
        <v>1.9</v>
      </c>
      <c r="AY15" s="403" t="str">
        <f t="shared" si="17"/>
        <v>Sa</v>
      </c>
      <c r="AZ15" s="423">
        <f>IF((S39="M1.1")*AND(S40&lt;&gt;""),VLOOKUP(S40,Échelle!$AO$5:$AP$31,2),)</f>
        <v>0</v>
      </c>
      <c r="BA15" s="424" t="s">
        <v>8</v>
      </c>
      <c r="BB15" s="148"/>
    </row>
    <row r="16" spans="2:54" x14ac:dyDescent="0.2">
      <c r="B16" s="403" t="s">
        <v>186</v>
      </c>
      <c r="C16" s="412" t="s">
        <v>351</v>
      </c>
      <c r="D16" s="411"/>
      <c r="E16" s="411"/>
      <c r="F16" s="401"/>
      <c r="G16" s="401"/>
      <c r="H16" s="401"/>
      <c r="I16" s="401"/>
      <c r="J16" s="406"/>
      <c r="K16" s="406"/>
      <c r="L16" s="402">
        <f>(G16-F16)+(I16-H16)+(K16-J16)</f>
        <v>0</v>
      </c>
      <c r="M16" s="407">
        <f t="shared" si="18"/>
        <v>0</v>
      </c>
      <c r="N16" s="407">
        <f>IF(Mar!$H$48="x",AV16+Mar!$N$37,AV16)</f>
        <v>9.18333333333333</v>
      </c>
      <c r="O16" s="408" t="str">
        <f t="shared" si="3"/>
        <v>-</v>
      </c>
      <c r="P16" s="409">
        <f t="shared" si="4"/>
        <v>9.18333333333333</v>
      </c>
      <c r="Q16" s="410">
        <f t="shared" si="5"/>
        <v>0</v>
      </c>
      <c r="R16" s="410">
        <f t="shared" si="6"/>
        <v>0</v>
      </c>
      <c r="S16" s="410">
        <f t="shared" si="7"/>
        <v>0</v>
      </c>
      <c r="T16" s="410">
        <f t="shared" si="8"/>
        <v>0</v>
      </c>
      <c r="U16" s="407">
        <f t="shared" si="9"/>
        <v>0</v>
      </c>
      <c r="V16" s="402">
        <f>L16</f>
        <v>0</v>
      </c>
      <c r="W16" s="402">
        <f t="shared" si="10"/>
        <v>0</v>
      </c>
      <c r="X16" s="402">
        <f t="shared" si="11"/>
        <v>0</v>
      </c>
      <c r="Y16" s="401"/>
      <c r="Z16" s="401"/>
      <c r="AA16" s="411"/>
      <c r="AB16" s="420">
        <f t="shared" si="29"/>
        <v>0</v>
      </c>
      <c r="AC16" s="420">
        <f t="shared" si="30"/>
        <v>0</v>
      </c>
      <c r="AD16" s="420">
        <f t="shared" si="19"/>
        <v>0</v>
      </c>
      <c r="AE16" s="420">
        <f t="shared" si="31"/>
        <v>0</v>
      </c>
      <c r="AF16" s="421">
        <f t="shared" si="20"/>
        <v>0</v>
      </c>
      <c r="AG16" s="420">
        <f t="shared" si="21"/>
        <v>0</v>
      </c>
      <c r="AH16" s="421">
        <f t="shared" si="22"/>
        <v>0</v>
      </c>
      <c r="AI16" s="420">
        <f t="shared" si="32"/>
        <v>0</v>
      </c>
      <c r="AJ16" s="422">
        <f>IF((D16&lt;&gt;""),VLOOKUP(D16,Données!$E$36:$H$59,4,FALSE),)</f>
        <v>0</v>
      </c>
      <c r="AK16" s="422">
        <f t="shared" si="25"/>
        <v>0</v>
      </c>
      <c r="AL16" s="423">
        <f t="shared" si="26"/>
        <v>0</v>
      </c>
      <c r="AM16" s="424">
        <f t="shared" si="27"/>
        <v>0</v>
      </c>
      <c r="AN16" s="425">
        <f t="shared" si="12"/>
        <v>0</v>
      </c>
      <c r="AO16" s="422">
        <f t="shared" si="13"/>
        <v>0</v>
      </c>
      <c r="AP16" s="426">
        <f t="shared" si="33"/>
        <v>0</v>
      </c>
      <c r="AQ16" s="426">
        <f t="shared" si="34"/>
        <v>0</v>
      </c>
      <c r="AR16" s="426">
        <f t="shared" si="35"/>
        <v>0</v>
      </c>
      <c r="AS16" s="426">
        <f t="shared" si="36"/>
        <v>0</v>
      </c>
      <c r="AT16" s="424">
        <f t="shared" si="14"/>
        <v>0</v>
      </c>
      <c r="AU16" s="424">
        <f t="shared" si="15"/>
        <v>0</v>
      </c>
      <c r="AV16" s="402">
        <f>IF(Données!$H$8="x",AW16,AX16)</f>
        <v>1.9</v>
      </c>
      <c r="AW16" s="402">
        <f t="shared" si="16"/>
        <v>0.95</v>
      </c>
      <c r="AX16" s="402">
        <f>AX15</f>
        <v>1.9</v>
      </c>
      <c r="AY16" s="403" t="str">
        <f t="shared" si="17"/>
        <v>Di</v>
      </c>
      <c r="AZ16" s="423">
        <f>IF((S39="M1.2")*AND(S40&lt;&gt;""),VLOOKUP(S40,Échelle!$AR$5:$AS$31,2),)</f>
        <v>0</v>
      </c>
      <c r="BA16" s="424" t="s">
        <v>9</v>
      </c>
      <c r="BB16" s="148"/>
    </row>
    <row r="17" spans="2:54" x14ac:dyDescent="0.2">
      <c r="B17" s="467" t="s">
        <v>188</v>
      </c>
      <c r="C17" s="468" t="s">
        <v>352</v>
      </c>
      <c r="D17" s="469"/>
      <c r="E17" s="469"/>
      <c r="F17" s="470"/>
      <c r="G17" s="470"/>
      <c r="H17" s="470"/>
      <c r="I17" s="470"/>
      <c r="J17" s="487"/>
      <c r="K17" s="487"/>
      <c r="L17" s="488">
        <f t="shared" si="23"/>
        <v>0</v>
      </c>
      <c r="M17" s="488">
        <f t="shared" si="18"/>
        <v>0</v>
      </c>
      <c r="N17" s="488">
        <f>IF(Mar!$H$48="x",AV17+Mar!$N$37,AV17)</f>
        <v>9.4999999999999964</v>
      </c>
      <c r="O17" s="483" t="str">
        <f t="shared" si="3"/>
        <v>-</v>
      </c>
      <c r="P17" s="489">
        <f t="shared" si="4"/>
        <v>9.4999999999999964</v>
      </c>
      <c r="Q17" s="474">
        <f t="shared" si="5"/>
        <v>0</v>
      </c>
      <c r="R17" s="474">
        <f t="shared" si="6"/>
        <v>0</v>
      </c>
      <c r="S17" s="474">
        <f t="shared" si="7"/>
        <v>0</v>
      </c>
      <c r="T17" s="474">
        <f t="shared" si="8"/>
        <v>0</v>
      </c>
      <c r="U17" s="488">
        <f t="shared" si="9"/>
        <v>0</v>
      </c>
      <c r="V17" s="471">
        <f t="shared" ref="V17:V21" si="37">IF(D17="F",L17,0)</f>
        <v>0</v>
      </c>
      <c r="W17" s="471">
        <f t="shared" si="10"/>
        <v>0</v>
      </c>
      <c r="X17" s="471">
        <f t="shared" si="11"/>
        <v>0</v>
      </c>
      <c r="Y17" s="470"/>
      <c r="Z17" s="470"/>
      <c r="AA17" s="469"/>
      <c r="AB17" s="475">
        <f t="shared" si="29"/>
        <v>0</v>
      </c>
      <c r="AC17" s="475">
        <f t="shared" si="30"/>
        <v>0</v>
      </c>
      <c r="AD17" s="475">
        <f t="shared" si="19"/>
        <v>0</v>
      </c>
      <c r="AE17" s="475">
        <f t="shared" si="31"/>
        <v>0</v>
      </c>
      <c r="AF17" s="476">
        <f t="shared" si="20"/>
        <v>0</v>
      </c>
      <c r="AG17" s="475">
        <f t="shared" si="21"/>
        <v>0</v>
      </c>
      <c r="AH17" s="476">
        <f t="shared" si="22"/>
        <v>0</v>
      </c>
      <c r="AI17" s="475">
        <f t="shared" si="32"/>
        <v>0</v>
      </c>
      <c r="AJ17" s="477">
        <f>IF((D17&lt;&gt;""),VLOOKUP(D17,Données!$E$36:$H$59,4,FALSE),)</f>
        <v>0</v>
      </c>
      <c r="AK17" s="477">
        <f t="shared" si="25"/>
        <v>0</v>
      </c>
      <c r="AL17" s="478">
        <f t="shared" si="26"/>
        <v>0</v>
      </c>
      <c r="AM17" s="479">
        <f t="shared" si="27"/>
        <v>0</v>
      </c>
      <c r="AN17" s="480">
        <f t="shared" si="12"/>
        <v>0</v>
      </c>
      <c r="AO17" s="477">
        <f t="shared" si="13"/>
        <v>0</v>
      </c>
      <c r="AP17" s="481">
        <f t="shared" si="33"/>
        <v>0</v>
      </c>
      <c r="AQ17" s="481">
        <f t="shared" si="34"/>
        <v>0</v>
      </c>
      <c r="AR17" s="481">
        <f t="shared" si="35"/>
        <v>0</v>
      </c>
      <c r="AS17" s="481">
        <f t="shared" si="36"/>
        <v>0</v>
      </c>
      <c r="AT17" s="479">
        <f t="shared" si="14"/>
        <v>0</v>
      </c>
      <c r="AU17" s="479">
        <f t="shared" si="15"/>
        <v>0</v>
      </c>
      <c r="AV17" s="471">
        <f>IF(Données!$H$8="x",AW17,AX17)</f>
        <v>2.2166666666666668</v>
      </c>
      <c r="AW17" s="471">
        <f t="shared" si="16"/>
        <v>1.1083333333333334</v>
      </c>
      <c r="AX17" s="471">
        <f t="shared" ref="AX17:AX21" si="38">IF(D17="L",AX16,(AX16+"07:36"))</f>
        <v>2.2166666666666668</v>
      </c>
      <c r="AY17" s="467" t="str">
        <f t="shared" si="17"/>
        <v>Lu</v>
      </c>
      <c r="AZ17" s="7">
        <f>IF((S39="M2.1")*AND(S40&lt;&gt;""),VLOOKUP(S40,Échelle!$AU$5:$AV$31,2),)</f>
        <v>0</v>
      </c>
      <c r="BA17" s="4" t="s">
        <v>10</v>
      </c>
      <c r="BB17" s="148"/>
    </row>
    <row r="18" spans="2:54" x14ac:dyDescent="0.2">
      <c r="B18" s="467" t="s">
        <v>176</v>
      </c>
      <c r="C18" s="468" t="s">
        <v>353</v>
      </c>
      <c r="D18" s="469"/>
      <c r="E18" s="469"/>
      <c r="F18" s="470"/>
      <c r="G18" s="470"/>
      <c r="H18" s="470"/>
      <c r="I18" s="470"/>
      <c r="J18" s="487"/>
      <c r="K18" s="487"/>
      <c r="L18" s="488">
        <f t="shared" si="23"/>
        <v>0</v>
      </c>
      <c r="M18" s="488">
        <f t="shared" si="18"/>
        <v>0</v>
      </c>
      <c r="N18" s="488">
        <f>IF(Mar!$H$48="x",AV18+Mar!$N$37,AV18)</f>
        <v>9.8166666666666629</v>
      </c>
      <c r="O18" s="483" t="str">
        <f t="shared" si="3"/>
        <v>-</v>
      </c>
      <c r="P18" s="489">
        <f t="shared" si="4"/>
        <v>9.8166666666666629</v>
      </c>
      <c r="Q18" s="474">
        <f t="shared" si="5"/>
        <v>0</v>
      </c>
      <c r="R18" s="474">
        <f t="shared" si="6"/>
        <v>0</v>
      </c>
      <c r="S18" s="474">
        <f t="shared" si="7"/>
        <v>0</v>
      </c>
      <c r="T18" s="474">
        <f t="shared" si="8"/>
        <v>0</v>
      </c>
      <c r="U18" s="488">
        <f t="shared" si="9"/>
        <v>0</v>
      </c>
      <c r="V18" s="471">
        <f t="shared" si="37"/>
        <v>0</v>
      </c>
      <c r="W18" s="471">
        <f t="shared" si="10"/>
        <v>0</v>
      </c>
      <c r="X18" s="471">
        <f t="shared" si="11"/>
        <v>0</v>
      </c>
      <c r="Y18" s="470"/>
      <c r="Z18" s="470"/>
      <c r="AA18" s="469"/>
      <c r="AB18" s="475">
        <f t="shared" si="29"/>
        <v>0</v>
      </c>
      <c r="AC18" s="475">
        <f t="shared" si="30"/>
        <v>0</v>
      </c>
      <c r="AD18" s="475">
        <f t="shared" si="19"/>
        <v>0</v>
      </c>
      <c r="AE18" s="475">
        <f t="shared" si="31"/>
        <v>0</v>
      </c>
      <c r="AF18" s="476">
        <f t="shared" si="20"/>
        <v>0</v>
      </c>
      <c r="AG18" s="475">
        <f t="shared" si="21"/>
        <v>0</v>
      </c>
      <c r="AH18" s="476">
        <f t="shared" si="22"/>
        <v>0</v>
      </c>
      <c r="AI18" s="475">
        <f t="shared" si="32"/>
        <v>0</v>
      </c>
      <c r="AJ18" s="477">
        <f>IF((D18&lt;&gt;""),VLOOKUP(D18,Données!$E$36:$H$59,4,FALSE),)</f>
        <v>0</v>
      </c>
      <c r="AK18" s="477">
        <f t="shared" si="25"/>
        <v>0</v>
      </c>
      <c r="AL18" s="478">
        <f t="shared" si="26"/>
        <v>0</v>
      </c>
      <c r="AM18" s="479">
        <f t="shared" si="27"/>
        <v>0</v>
      </c>
      <c r="AN18" s="480">
        <f t="shared" si="12"/>
        <v>0</v>
      </c>
      <c r="AO18" s="477">
        <f t="shared" si="13"/>
        <v>0</v>
      </c>
      <c r="AP18" s="481">
        <f t="shared" si="33"/>
        <v>0</v>
      </c>
      <c r="AQ18" s="481">
        <f t="shared" si="34"/>
        <v>0</v>
      </c>
      <c r="AR18" s="481">
        <f t="shared" si="35"/>
        <v>0</v>
      </c>
      <c r="AS18" s="481">
        <f t="shared" si="36"/>
        <v>0</v>
      </c>
      <c r="AT18" s="479">
        <f t="shared" si="14"/>
        <v>0</v>
      </c>
      <c r="AU18" s="479">
        <f t="shared" si="15"/>
        <v>0</v>
      </c>
      <c r="AV18" s="471">
        <f>IF(Données!$H$8="x",AW18,AX18)</f>
        <v>2.5333333333333332</v>
      </c>
      <c r="AW18" s="471">
        <f t="shared" si="16"/>
        <v>1.2666666666666666</v>
      </c>
      <c r="AX18" s="471">
        <f t="shared" si="38"/>
        <v>2.5333333333333332</v>
      </c>
      <c r="AY18" s="467" t="str">
        <f t="shared" si="17"/>
        <v>Ma</v>
      </c>
      <c r="AZ18" s="7">
        <f>IF((S39="M2.2")*AND(S40&lt;&gt;""),VLOOKUP(S40,Échelle!$AX$5:$AY$31,2),)</f>
        <v>0</v>
      </c>
      <c r="BA18" s="4" t="s">
        <v>11</v>
      </c>
      <c r="BB18" s="148"/>
    </row>
    <row r="19" spans="2:54" x14ac:dyDescent="0.2">
      <c r="B19" s="467" t="s">
        <v>178</v>
      </c>
      <c r="C19" s="468" t="s">
        <v>354</v>
      </c>
      <c r="D19" s="469"/>
      <c r="E19" s="469"/>
      <c r="F19" s="470"/>
      <c r="G19" s="470"/>
      <c r="H19" s="470"/>
      <c r="I19" s="470"/>
      <c r="J19" s="487"/>
      <c r="K19" s="487"/>
      <c r="L19" s="488">
        <f t="shared" si="23"/>
        <v>0</v>
      </c>
      <c r="M19" s="488">
        <f t="shared" si="18"/>
        <v>0</v>
      </c>
      <c r="N19" s="488">
        <f>IF(Mar!$H$48="x",AV19+Mar!$N$37,AV19)</f>
        <v>10.133333333333329</v>
      </c>
      <c r="O19" s="483" t="str">
        <f t="shared" si="3"/>
        <v>-</v>
      </c>
      <c r="P19" s="489">
        <f t="shared" si="4"/>
        <v>10.133333333333329</v>
      </c>
      <c r="Q19" s="474">
        <f t="shared" si="5"/>
        <v>0</v>
      </c>
      <c r="R19" s="474">
        <f t="shared" si="6"/>
        <v>0</v>
      </c>
      <c r="S19" s="474">
        <f t="shared" si="7"/>
        <v>0</v>
      </c>
      <c r="T19" s="474">
        <f t="shared" si="8"/>
        <v>0</v>
      </c>
      <c r="U19" s="488">
        <f t="shared" si="9"/>
        <v>0</v>
      </c>
      <c r="V19" s="471">
        <f t="shared" si="37"/>
        <v>0</v>
      </c>
      <c r="W19" s="471">
        <f t="shared" si="10"/>
        <v>0</v>
      </c>
      <c r="X19" s="471">
        <f t="shared" si="11"/>
        <v>0</v>
      </c>
      <c r="Y19" s="470"/>
      <c r="Z19" s="470"/>
      <c r="AA19" s="469"/>
      <c r="AB19" s="475">
        <f t="shared" si="29"/>
        <v>0</v>
      </c>
      <c r="AC19" s="475">
        <f t="shared" si="30"/>
        <v>0</v>
      </c>
      <c r="AD19" s="475">
        <f t="shared" si="19"/>
        <v>0</v>
      </c>
      <c r="AE19" s="475">
        <f t="shared" si="31"/>
        <v>0</v>
      </c>
      <c r="AF19" s="476">
        <f t="shared" si="20"/>
        <v>0</v>
      </c>
      <c r="AG19" s="475">
        <f t="shared" si="21"/>
        <v>0</v>
      </c>
      <c r="AH19" s="476">
        <f t="shared" si="22"/>
        <v>0</v>
      </c>
      <c r="AI19" s="475">
        <f t="shared" si="32"/>
        <v>0</v>
      </c>
      <c r="AJ19" s="477">
        <f>IF((D19&lt;&gt;""),VLOOKUP(D19,Données!$E$36:$H$59,4,FALSE),)</f>
        <v>0</v>
      </c>
      <c r="AK19" s="477">
        <f t="shared" si="25"/>
        <v>0</v>
      </c>
      <c r="AL19" s="478">
        <f t="shared" si="26"/>
        <v>0</v>
      </c>
      <c r="AM19" s="479">
        <f t="shared" si="27"/>
        <v>0</v>
      </c>
      <c r="AN19" s="480">
        <f t="shared" si="12"/>
        <v>0</v>
      </c>
      <c r="AO19" s="477">
        <f t="shared" si="13"/>
        <v>0</v>
      </c>
      <c r="AP19" s="481">
        <f t="shared" si="33"/>
        <v>0</v>
      </c>
      <c r="AQ19" s="481">
        <f t="shared" si="34"/>
        <v>0</v>
      </c>
      <c r="AR19" s="481">
        <f t="shared" si="35"/>
        <v>0</v>
      </c>
      <c r="AS19" s="481">
        <f t="shared" si="36"/>
        <v>0</v>
      </c>
      <c r="AT19" s="479">
        <f t="shared" si="14"/>
        <v>0</v>
      </c>
      <c r="AU19" s="479">
        <f t="shared" si="15"/>
        <v>0</v>
      </c>
      <c r="AV19" s="471">
        <f>IF(Données!$H$8="x",AW19,AX19)</f>
        <v>2.8499999999999996</v>
      </c>
      <c r="AW19" s="471">
        <f t="shared" si="16"/>
        <v>1.4249999999999998</v>
      </c>
      <c r="AX19" s="471">
        <f t="shared" si="38"/>
        <v>2.8499999999999996</v>
      </c>
      <c r="AY19" s="467" t="str">
        <f t="shared" si="17"/>
        <v>Me</v>
      </c>
      <c r="AZ19" s="7">
        <f>IF((S39="M3.1")*AND(S40&lt;&gt;""),VLOOKUP(S40,Échelle!$BA$5:$BB$31,2),)</f>
        <v>0</v>
      </c>
      <c r="BA19" s="4" t="s">
        <v>12</v>
      </c>
      <c r="BB19" s="148"/>
    </row>
    <row r="20" spans="2:54" x14ac:dyDescent="0.2">
      <c r="B20" s="467" t="s">
        <v>180</v>
      </c>
      <c r="C20" s="468" t="s">
        <v>355</v>
      </c>
      <c r="D20" s="469"/>
      <c r="E20" s="469"/>
      <c r="F20" s="470"/>
      <c r="G20" s="470"/>
      <c r="H20" s="470"/>
      <c r="I20" s="470"/>
      <c r="J20" s="487"/>
      <c r="K20" s="487"/>
      <c r="L20" s="488">
        <f t="shared" si="23"/>
        <v>0</v>
      </c>
      <c r="M20" s="488">
        <f t="shared" si="18"/>
        <v>0</v>
      </c>
      <c r="N20" s="488">
        <f>IF(Mar!$H$48="x",AV20+Mar!$N$37,AV20)</f>
        <v>10.449999999999996</v>
      </c>
      <c r="O20" s="483" t="str">
        <f t="shared" si="3"/>
        <v>-</v>
      </c>
      <c r="P20" s="489">
        <f t="shared" si="4"/>
        <v>10.449999999999996</v>
      </c>
      <c r="Q20" s="474">
        <f t="shared" si="5"/>
        <v>0</v>
      </c>
      <c r="R20" s="474">
        <f t="shared" si="6"/>
        <v>0</v>
      </c>
      <c r="S20" s="474">
        <f t="shared" si="7"/>
        <v>0</v>
      </c>
      <c r="T20" s="474">
        <f t="shared" si="8"/>
        <v>0</v>
      </c>
      <c r="U20" s="488">
        <f t="shared" si="9"/>
        <v>0</v>
      </c>
      <c r="V20" s="471">
        <f t="shared" si="37"/>
        <v>0</v>
      </c>
      <c r="W20" s="471">
        <f t="shared" si="10"/>
        <v>0</v>
      </c>
      <c r="X20" s="471">
        <f t="shared" si="11"/>
        <v>0</v>
      </c>
      <c r="Y20" s="470"/>
      <c r="Z20" s="470"/>
      <c r="AA20" s="469"/>
      <c r="AB20" s="475">
        <f t="shared" si="29"/>
        <v>0</v>
      </c>
      <c r="AC20" s="475">
        <f t="shared" si="30"/>
        <v>0</v>
      </c>
      <c r="AD20" s="475">
        <f t="shared" si="19"/>
        <v>0</v>
      </c>
      <c r="AE20" s="475">
        <f t="shared" si="31"/>
        <v>0</v>
      </c>
      <c r="AF20" s="476">
        <f t="shared" si="20"/>
        <v>0</v>
      </c>
      <c r="AG20" s="475">
        <f t="shared" si="21"/>
        <v>0</v>
      </c>
      <c r="AH20" s="476">
        <f t="shared" si="22"/>
        <v>0</v>
      </c>
      <c r="AI20" s="475">
        <f t="shared" si="32"/>
        <v>0</v>
      </c>
      <c r="AJ20" s="477">
        <f>IF((D20&lt;&gt;""),VLOOKUP(D20,Données!$E$36:$H$59,4,FALSE),)</f>
        <v>0</v>
      </c>
      <c r="AK20" s="477">
        <f t="shared" si="25"/>
        <v>0</v>
      </c>
      <c r="AL20" s="478">
        <f t="shared" si="26"/>
        <v>0</v>
      </c>
      <c r="AM20" s="479">
        <f t="shared" si="27"/>
        <v>0</v>
      </c>
      <c r="AN20" s="480">
        <f t="shared" si="12"/>
        <v>0</v>
      </c>
      <c r="AO20" s="477">
        <f t="shared" si="13"/>
        <v>0</v>
      </c>
      <c r="AP20" s="481">
        <f t="shared" si="33"/>
        <v>0</v>
      </c>
      <c r="AQ20" s="481">
        <f t="shared" si="34"/>
        <v>0</v>
      </c>
      <c r="AR20" s="481">
        <f t="shared" si="35"/>
        <v>0</v>
      </c>
      <c r="AS20" s="481">
        <f t="shared" si="36"/>
        <v>0</v>
      </c>
      <c r="AT20" s="479">
        <f t="shared" si="14"/>
        <v>0</v>
      </c>
      <c r="AU20" s="479">
        <f t="shared" si="15"/>
        <v>0</v>
      </c>
      <c r="AV20" s="471">
        <f>IF(Données!$H$8="x",AW20,AX20)</f>
        <v>3.1666666666666661</v>
      </c>
      <c r="AW20" s="471">
        <f t="shared" si="16"/>
        <v>1.583333333333333</v>
      </c>
      <c r="AX20" s="471">
        <f t="shared" si="38"/>
        <v>3.1666666666666661</v>
      </c>
      <c r="AY20" s="467" t="str">
        <f t="shared" si="17"/>
        <v>Je</v>
      </c>
      <c r="AZ20" s="7">
        <f>IF((S39="M3.2")*AND(S40&lt;&gt;""),VLOOKUP(S40,Échelle!$BD$5:$BE$31,2),)</f>
        <v>0</v>
      </c>
      <c r="BA20" s="4" t="s">
        <v>13</v>
      </c>
      <c r="BB20" s="148"/>
    </row>
    <row r="21" spans="2:54" x14ac:dyDescent="0.2">
      <c r="B21" s="467" t="s">
        <v>182</v>
      </c>
      <c r="C21" s="485" t="s">
        <v>356</v>
      </c>
      <c r="D21" s="486"/>
      <c r="E21" s="486"/>
      <c r="F21" s="470"/>
      <c r="G21" s="470"/>
      <c r="H21" s="470"/>
      <c r="I21" s="470"/>
      <c r="J21" s="487"/>
      <c r="K21" s="487"/>
      <c r="L21" s="488">
        <f t="shared" si="23"/>
        <v>0</v>
      </c>
      <c r="M21" s="488">
        <f>M20+L21</f>
        <v>0</v>
      </c>
      <c r="N21" s="488">
        <f>IF(Mar!$H$48="x",AV21+Mar!$N$37,AV21)</f>
        <v>10.766666666666662</v>
      </c>
      <c r="O21" s="483" t="str">
        <f t="shared" si="3"/>
        <v>-</v>
      </c>
      <c r="P21" s="489">
        <f t="shared" si="4"/>
        <v>10.766666666666662</v>
      </c>
      <c r="Q21" s="474">
        <f t="shared" si="5"/>
        <v>0</v>
      </c>
      <c r="R21" s="474">
        <f t="shared" si="6"/>
        <v>0</v>
      </c>
      <c r="S21" s="474">
        <f t="shared" si="7"/>
        <v>0</v>
      </c>
      <c r="T21" s="474">
        <f t="shared" si="8"/>
        <v>0</v>
      </c>
      <c r="U21" s="488">
        <f t="shared" si="9"/>
        <v>0</v>
      </c>
      <c r="V21" s="471">
        <f t="shared" si="37"/>
        <v>0</v>
      </c>
      <c r="W21" s="471">
        <f t="shared" si="10"/>
        <v>0</v>
      </c>
      <c r="X21" s="471">
        <f t="shared" si="11"/>
        <v>0</v>
      </c>
      <c r="Y21" s="470"/>
      <c r="Z21" s="470"/>
      <c r="AA21" s="469"/>
      <c r="AB21" s="475">
        <f t="shared" si="29"/>
        <v>0</v>
      </c>
      <c r="AC21" s="475">
        <f t="shared" si="30"/>
        <v>0</v>
      </c>
      <c r="AD21" s="475">
        <f t="shared" si="19"/>
        <v>0</v>
      </c>
      <c r="AE21" s="475">
        <f t="shared" si="31"/>
        <v>0</v>
      </c>
      <c r="AF21" s="476">
        <f t="shared" si="20"/>
        <v>0</v>
      </c>
      <c r="AG21" s="475">
        <f t="shared" si="21"/>
        <v>0</v>
      </c>
      <c r="AH21" s="476">
        <f t="shared" si="22"/>
        <v>0</v>
      </c>
      <c r="AI21" s="475">
        <f t="shared" si="32"/>
        <v>0</v>
      </c>
      <c r="AJ21" s="477">
        <f>IF((D21&lt;&gt;""),VLOOKUP(D21,Données!$E$36:$H$59,4,FALSE),)</f>
        <v>0</v>
      </c>
      <c r="AK21" s="477">
        <f t="shared" si="25"/>
        <v>0</v>
      </c>
      <c r="AL21" s="478">
        <f t="shared" si="26"/>
        <v>0</v>
      </c>
      <c r="AM21" s="479">
        <f t="shared" si="27"/>
        <v>0</v>
      </c>
      <c r="AN21" s="480">
        <f t="shared" si="12"/>
        <v>0</v>
      </c>
      <c r="AO21" s="477">
        <f t="shared" si="13"/>
        <v>0</v>
      </c>
      <c r="AP21" s="481">
        <f t="shared" si="33"/>
        <v>0</v>
      </c>
      <c r="AQ21" s="481">
        <f t="shared" si="34"/>
        <v>0</v>
      </c>
      <c r="AR21" s="481">
        <f t="shared" si="35"/>
        <v>0</v>
      </c>
      <c r="AS21" s="481">
        <f t="shared" si="36"/>
        <v>0</v>
      </c>
      <c r="AT21" s="479">
        <f t="shared" si="14"/>
        <v>0</v>
      </c>
      <c r="AU21" s="479">
        <f t="shared" si="15"/>
        <v>0</v>
      </c>
      <c r="AV21" s="471">
        <f>IF(Données!$H$8="x",AW21,AX21)</f>
        <v>3.4833333333333325</v>
      </c>
      <c r="AW21" s="471">
        <f t="shared" si="16"/>
        <v>1.7416666666666663</v>
      </c>
      <c r="AX21" s="471">
        <f t="shared" si="38"/>
        <v>3.4833333333333325</v>
      </c>
      <c r="AY21" s="467" t="str">
        <f t="shared" si="17"/>
        <v>Ve</v>
      </c>
      <c r="AZ21" s="7">
        <f>IF((S39="M4.1")*AND(S40&lt;&gt;""),VLOOKUP(S40,Échelle!$BJ$39:$BK$68,2),)</f>
        <v>0</v>
      </c>
      <c r="BA21" s="4" t="s">
        <v>14</v>
      </c>
      <c r="BB21" s="148"/>
    </row>
    <row r="22" spans="2:54" x14ac:dyDescent="0.2">
      <c r="B22" s="403" t="s">
        <v>184</v>
      </c>
      <c r="C22" s="412" t="s">
        <v>357</v>
      </c>
      <c r="D22" s="411"/>
      <c r="E22" s="411"/>
      <c r="F22" s="401"/>
      <c r="G22" s="401"/>
      <c r="H22" s="401"/>
      <c r="I22" s="401"/>
      <c r="J22" s="406"/>
      <c r="K22" s="406"/>
      <c r="L22" s="407">
        <f>(G22-F22)+(I22-H22)+(K22-J22)</f>
        <v>0</v>
      </c>
      <c r="M22" s="407">
        <f>M21+L22</f>
        <v>0</v>
      </c>
      <c r="N22" s="407">
        <f>IF(Mar!$H$48="x",AV22+Mar!$N$37,AV22)</f>
        <v>10.766666666666662</v>
      </c>
      <c r="O22" s="408" t="str">
        <f t="shared" si="3"/>
        <v>-</v>
      </c>
      <c r="P22" s="409">
        <f t="shared" si="4"/>
        <v>10.766666666666662</v>
      </c>
      <c r="Q22" s="410">
        <f t="shared" si="5"/>
        <v>0</v>
      </c>
      <c r="R22" s="410">
        <f t="shared" si="6"/>
        <v>0</v>
      </c>
      <c r="S22" s="410">
        <f t="shared" si="7"/>
        <v>0</v>
      </c>
      <c r="T22" s="410">
        <f t="shared" si="8"/>
        <v>0</v>
      </c>
      <c r="U22" s="407">
        <f t="shared" si="9"/>
        <v>0</v>
      </c>
      <c r="V22" s="402">
        <f>L22</f>
        <v>0</v>
      </c>
      <c r="W22" s="402">
        <f t="shared" si="10"/>
        <v>0</v>
      </c>
      <c r="X22" s="402">
        <f t="shared" si="11"/>
        <v>0</v>
      </c>
      <c r="Y22" s="401"/>
      <c r="Z22" s="401"/>
      <c r="AA22" s="411"/>
      <c r="AB22" s="420">
        <f t="shared" si="29"/>
        <v>0</v>
      </c>
      <c r="AC22" s="420">
        <f t="shared" si="30"/>
        <v>0</v>
      </c>
      <c r="AD22" s="420">
        <f t="shared" si="19"/>
        <v>0</v>
      </c>
      <c r="AE22" s="420">
        <f t="shared" si="31"/>
        <v>0</v>
      </c>
      <c r="AF22" s="421">
        <f t="shared" si="20"/>
        <v>0</v>
      </c>
      <c r="AG22" s="420">
        <f t="shared" si="21"/>
        <v>0</v>
      </c>
      <c r="AH22" s="421">
        <f t="shared" si="22"/>
        <v>0</v>
      </c>
      <c r="AI22" s="420">
        <f t="shared" si="32"/>
        <v>0</v>
      </c>
      <c r="AJ22" s="422">
        <f>IF((D22&lt;&gt;""),VLOOKUP(D22,Données!$E$36:$H$59,4,FALSE),)</f>
        <v>0</v>
      </c>
      <c r="AK22" s="422">
        <f t="shared" si="25"/>
        <v>0</v>
      </c>
      <c r="AL22" s="423">
        <f t="shared" si="26"/>
        <v>0</v>
      </c>
      <c r="AM22" s="424">
        <f t="shared" si="27"/>
        <v>0</v>
      </c>
      <c r="AN22" s="425">
        <f t="shared" si="12"/>
        <v>0</v>
      </c>
      <c r="AO22" s="422">
        <f t="shared" si="13"/>
        <v>0</v>
      </c>
      <c r="AP22" s="426">
        <f t="shared" si="33"/>
        <v>0</v>
      </c>
      <c r="AQ22" s="426">
        <f t="shared" si="34"/>
        <v>0</v>
      </c>
      <c r="AR22" s="426">
        <f t="shared" si="35"/>
        <v>0</v>
      </c>
      <c r="AS22" s="426">
        <f t="shared" si="36"/>
        <v>0</v>
      </c>
      <c r="AT22" s="424">
        <f t="shared" si="14"/>
        <v>0</v>
      </c>
      <c r="AU22" s="424">
        <f t="shared" si="15"/>
        <v>0</v>
      </c>
      <c r="AV22" s="402">
        <f>IF(Données!$H$8="x",AW22,AX22)</f>
        <v>3.4833333333333325</v>
      </c>
      <c r="AW22" s="402">
        <f t="shared" si="16"/>
        <v>1.7416666666666663</v>
      </c>
      <c r="AX22" s="402">
        <f>AX21</f>
        <v>3.4833333333333325</v>
      </c>
      <c r="AY22" s="403" t="str">
        <f t="shared" si="17"/>
        <v>Sa</v>
      </c>
      <c r="AZ22" s="423">
        <f>IF((S39="M4.2")*AND(S40&lt;&gt;""),VLOOKUP(S40,Échelle!$BJ$5:$BK$31,2),)</f>
        <v>0</v>
      </c>
      <c r="BA22" s="424" t="s">
        <v>15</v>
      </c>
      <c r="BB22" s="148"/>
    </row>
    <row r="23" spans="2:54" x14ac:dyDescent="0.2">
      <c r="B23" s="403" t="s">
        <v>186</v>
      </c>
      <c r="C23" s="412" t="s">
        <v>358</v>
      </c>
      <c r="D23" s="411"/>
      <c r="E23" s="411"/>
      <c r="F23" s="401"/>
      <c r="G23" s="401"/>
      <c r="H23" s="401"/>
      <c r="I23" s="401"/>
      <c r="J23" s="401"/>
      <c r="K23" s="401"/>
      <c r="L23" s="407">
        <f>(G23-F23)+(I23-H23)+(K23-J23)</f>
        <v>0</v>
      </c>
      <c r="M23" s="407">
        <f t="shared" si="18"/>
        <v>0</v>
      </c>
      <c r="N23" s="407">
        <f>IF(Mar!$H$48="x",AV23+Mar!$N$37,AV23)</f>
        <v>10.766666666666662</v>
      </c>
      <c r="O23" s="408" t="str">
        <f t="shared" si="3"/>
        <v>-</v>
      </c>
      <c r="P23" s="413">
        <f t="shared" si="4"/>
        <v>10.766666666666662</v>
      </c>
      <c r="Q23" s="410">
        <f t="shared" si="5"/>
        <v>0</v>
      </c>
      <c r="R23" s="410">
        <f t="shared" si="6"/>
        <v>0</v>
      </c>
      <c r="S23" s="410">
        <f t="shared" si="7"/>
        <v>0</v>
      </c>
      <c r="T23" s="410">
        <f t="shared" si="8"/>
        <v>0</v>
      </c>
      <c r="U23" s="402">
        <f t="shared" si="9"/>
        <v>0</v>
      </c>
      <c r="V23" s="402">
        <f>L23</f>
        <v>0</v>
      </c>
      <c r="W23" s="402">
        <f t="shared" si="10"/>
        <v>0</v>
      </c>
      <c r="X23" s="402">
        <f t="shared" si="11"/>
        <v>0</v>
      </c>
      <c r="Y23" s="411"/>
      <c r="Z23" s="401"/>
      <c r="AA23" s="401"/>
      <c r="AB23" s="420">
        <f t="shared" si="29"/>
        <v>0</v>
      </c>
      <c r="AC23" s="420">
        <f t="shared" si="30"/>
        <v>0</v>
      </c>
      <c r="AD23" s="420">
        <f t="shared" si="19"/>
        <v>0</v>
      </c>
      <c r="AE23" s="420">
        <f t="shared" si="31"/>
        <v>0</v>
      </c>
      <c r="AF23" s="421">
        <f t="shared" si="20"/>
        <v>0</v>
      </c>
      <c r="AG23" s="420">
        <f t="shared" si="21"/>
        <v>0</v>
      </c>
      <c r="AH23" s="421">
        <f t="shared" si="22"/>
        <v>0</v>
      </c>
      <c r="AI23" s="420">
        <f t="shared" si="32"/>
        <v>0</v>
      </c>
      <c r="AJ23" s="422">
        <f>IF((D23&lt;&gt;""),VLOOKUP(D23,Données!$E$36:$H$59,4,FALSE),)</f>
        <v>0</v>
      </c>
      <c r="AK23" s="422">
        <f t="shared" si="25"/>
        <v>0</v>
      </c>
      <c r="AL23" s="423">
        <f t="shared" si="26"/>
        <v>0</v>
      </c>
      <c r="AM23" s="424">
        <f t="shared" si="27"/>
        <v>0</v>
      </c>
      <c r="AN23" s="425">
        <f t="shared" si="12"/>
        <v>0</v>
      </c>
      <c r="AO23" s="422">
        <f t="shared" si="13"/>
        <v>0</v>
      </c>
      <c r="AP23" s="426">
        <f t="shared" si="33"/>
        <v>0</v>
      </c>
      <c r="AQ23" s="426">
        <f t="shared" si="34"/>
        <v>0</v>
      </c>
      <c r="AR23" s="426">
        <f t="shared" si="35"/>
        <v>0</v>
      </c>
      <c r="AS23" s="426">
        <f t="shared" si="36"/>
        <v>0</v>
      </c>
      <c r="AT23" s="424">
        <f t="shared" si="14"/>
        <v>0</v>
      </c>
      <c r="AU23" s="424">
        <f t="shared" si="15"/>
        <v>0</v>
      </c>
      <c r="AV23" s="402">
        <f>IF(Données!$H$8="x",AW23,AX23)</f>
        <v>3.4833333333333325</v>
      </c>
      <c r="AW23" s="402">
        <f t="shared" si="16"/>
        <v>1.7416666666666663</v>
      </c>
      <c r="AX23" s="402">
        <f>AX22</f>
        <v>3.4833333333333325</v>
      </c>
      <c r="AY23" s="403" t="str">
        <f t="shared" si="17"/>
        <v>Di</v>
      </c>
      <c r="AZ23" s="423">
        <f>IF((S39="M5.1")*AND(S40&lt;&gt;""),VLOOKUP(S40,Échelle!$BM$5:$BN$31,2),)</f>
        <v>0</v>
      </c>
      <c r="BA23" s="424" t="s">
        <v>16</v>
      </c>
      <c r="BB23" s="148"/>
    </row>
    <row r="24" spans="2:54" x14ac:dyDescent="0.2">
      <c r="B24" s="430" t="s">
        <v>188</v>
      </c>
      <c r="C24" s="431" t="s">
        <v>359</v>
      </c>
      <c r="D24" s="432" t="s">
        <v>84</v>
      </c>
      <c r="E24" s="432"/>
      <c r="F24" s="433"/>
      <c r="G24" s="433"/>
      <c r="H24" s="433"/>
      <c r="I24" s="433"/>
      <c r="J24" s="438"/>
      <c r="K24" s="438"/>
      <c r="L24" s="434">
        <f t="shared" si="23"/>
        <v>0.31666666666666665</v>
      </c>
      <c r="M24" s="439">
        <f t="shared" si="18"/>
        <v>0.31666666666666665</v>
      </c>
      <c r="N24" s="439">
        <f>IF(Mar!$H$48="x",AV24+Mar!$N$37,AV24)</f>
        <v>11.083333333333329</v>
      </c>
      <c r="O24" s="440" t="str">
        <f t="shared" si="3"/>
        <v>-</v>
      </c>
      <c r="P24" s="441">
        <f t="shared" si="4"/>
        <v>10.766666666666662</v>
      </c>
      <c r="Q24" s="436">
        <f t="shared" si="5"/>
        <v>0</v>
      </c>
      <c r="R24" s="436">
        <f t="shared" si="6"/>
        <v>0</v>
      </c>
      <c r="S24" s="436">
        <f t="shared" si="7"/>
        <v>0</v>
      </c>
      <c r="T24" s="436">
        <f t="shared" si="8"/>
        <v>0</v>
      </c>
      <c r="U24" s="439">
        <f t="shared" si="9"/>
        <v>0</v>
      </c>
      <c r="V24" s="434">
        <f t="shared" ref="V24:V28" si="39">IF(D24="F",L24,0)</f>
        <v>0</v>
      </c>
      <c r="W24" s="434">
        <f t="shared" si="10"/>
        <v>0</v>
      </c>
      <c r="X24" s="434">
        <f t="shared" si="11"/>
        <v>0</v>
      </c>
      <c r="Y24" s="433"/>
      <c r="Z24" s="433"/>
      <c r="AA24" s="432"/>
      <c r="AB24" s="442">
        <f t="shared" si="29"/>
        <v>0</v>
      </c>
      <c r="AC24" s="442">
        <f t="shared" si="30"/>
        <v>0</v>
      </c>
      <c r="AD24" s="442">
        <f t="shared" si="19"/>
        <v>0</v>
      </c>
      <c r="AE24" s="442">
        <f t="shared" si="31"/>
        <v>0</v>
      </c>
      <c r="AF24" s="443">
        <f t="shared" si="20"/>
        <v>0</v>
      </c>
      <c r="AG24" s="442">
        <f t="shared" si="21"/>
        <v>0</v>
      </c>
      <c r="AH24" s="443">
        <f t="shared" si="22"/>
        <v>0</v>
      </c>
      <c r="AI24" s="442">
        <f t="shared" si="32"/>
        <v>0</v>
      </c>
      <c r="AJ24" s="444">
        <f>IF((D24&lt;&gt;""),VLOOKUP(D24,Données!$E$36:$H$59,4,FALSE),)</f>
        <v>0.31666666666666665</v>
      </c>
      <c r="AK24" s="444">
        <f t="shared" si="25"/>
        <v>0</v>
      </c>
      <c r="AL24" s="445" t="str">
        <f t="shared" si="26"/>
        <v>FC</v>
      </c>
      <c r="AM24" s="446">
        <f t="shared" si="27"/>
        <v>0</v>
      </c>
      <c r="AN24" s="447">
        <f t="shared" si="12"/>
        <v>0</v>
      </c>
      <c r="AO24" s="444">
        <f t="shared" si="13"/>
        <v>0</v>
      </c>
      <c r="AP24" s="448">
        <f t="shared" si="33"/>
        <v>0</v>
      </c>
      <c r="AQ24" s="448">
        <f t="shared" si="34"/>
        <v>0</v>
      </c>
      <c r="AR24" s="448">
        <f t="shared" si="35"/>
        <v>0</v>
      </c>
      <c r="AS24" s="448">
        <f t="shared" si="36"/>
        <v>0</v>
      </c>
      <c r="AT24" s="446">
        <f t="shared" si="14"/>
        <v>0</v>
      </c>
      <c r="AU24" s="446">
        <f t="shared" si="15"/>
        <v>0</v>
      </c>
      <c r="AV24" s="434">
        <f>IF(Données!$H$8="x",AW24,AX24)</f>
        <v>3.7999999999999989</v>
      </c>
      <c r="AW24" s="434">
        <f t="shared" si="16"/>
        <v>1.8999999999999995</v>
      </c>
      <c r="AX24" s="434">
        <f t="shared" ref="AX24:AX28" si="40">IF(D24="L",AX23,(AX23+"07:36"))</f>
        <v>3.7999999999999989</v>
      </c>
      <c r="AY24" s="430" t="str">
        <f t="shared" si="17"/>
        <v>Lu</v>
      </c>
      <c r="AZ24" s="445">
        <f>IF((S39="M5.2")*AND(S40&lt;&gt;""),VLOOKUP(S40,Échelle!$BP$5:$BQ$31,2),)</f>
        <v>0</v>
      </c>
      <c r="BA24" s="446" t="s">
        <v>17</v>
      </c>
      <c r="BB24" s="148"/>
    </row>
    <row r="25" spans="2:54" x14ac:dyDescent="0.2">
      <c r="B25" s="467" t="s">
        <v>176</v>
      </c>
      <c r="C25" s="468" t="s">
        <v>360</v>
      </c>
      <c r="D25" s="469"/>
      <c r="E25" s="469"/>
      <c r="F25" s="470"/>
      <c r="G25" s="470"/>
      <c r="H25" s="470"/>
      <c r="I25" s="470"/>
      <c r="J25" s="487"/>
      <c r="K25" s="487"/>
      <c r="L25" s="471">
        <f t="shared" si="23"/>
        <v>0</v>
      </c>
      <c r="M25" s="488">
        <f t="shared" si="18"/>
        <v>0.31666666666666665</v>
      </c>
      <c r="N25" s="488">
        <f>IF(Mar!$H$48="x",AV25+Mar!$N$37,AV25)</f>
        <v>11.399999999999995</v>
      </c>
      <c r="O25" s="483" t="str">
        <f t="shared" si="3"/>
        <v>-</v>
      </c>
      <c r="P25" s="489">
        <f t="shared" si="4"/>
        <v>11.083333333333329</v>
      </c>
      <c r="Q25" s="474">
        <f t="shared" si="5"/>
        <v>0</v>
      </c>
      <c r="R25" s="474">
        <f t="shared" si="6"/>
        <v>0</v>
      </c>
      <c r="S25" s="474">
        <f t="shared" si="7"/>
        <v>0</v>
      </c>
      <c r="T25" s="474">
        <f t="shared" si="8"/>
        <v>0</v>
      </c>
      <c r="U25" s="488">
        <f t="shared" si="9"/>
        <v>0</v>
      </c>
      <c r="V25" s="471">
        <f t="shared" si="39"/>
        <v>0</v>
      </c>
      <c r="W25" s="471">
        <f t="shared" si="10"/>
        <v>0</v>
      </c>
      <c r="X25" s="471">
        <f t="shared" si="11"/>
        <v>0</v>
      </c>
      <c r="Y25" s="470"/>
      <c r="Z25" s="470"/>
      <c r="AA25" s="469"/>
      <c r="AB25" s="475">
        <f t="shared" si="29"/>
        <v>0</v>
      </c>
      <c r="AC25" s="475">
        <f t="shared" si="30"/>
        <v>0</v>
      </c>
      <c r="AD25" s="475">
        <f t="shared" si="19"/>
        <v>0</v>
      </c>
      <c r="AE25" s="475">
        <f t="shared" si="31"/>
        <v>0</v>
      </c>
      <c r="AF25" s="476">
        <f t="shared" si="20"/>
        <v>0</v>
      </c>
      <c r="AG25" s="475">
        <f t="shared" si="21"/>
        <v>0</v>
      </c>
      <c r="AH25" s="476">
        <f t="shared" si="22"/>
        <v>0</v>
      </c>
      <c r="AI25" s="475">
        <f t="shared" si="32"/>
        <v>0</v>
      </c>
      <c r="AJ25" s="477">
        <f>IF((D25&lt;&gt;""),VLOOKUP(D25,Données!$E$36:$H$59,4,FALSE),)</f>
        <v>0</v>
      </c>
      <c r="AK25" s="477">
        <f t="shared" si="25"/>
        <v>0</v>
      </c>
      <c r="AL25" s="478">
        <f t="shared" si="26"/>
        <v>0</v>
      </c>
      <c r="AM25" s="479">
        <f t="shared" si="27"/>
        <v>0</v>
      </c>
      <c r="AN25" s="480">
        <f t="shared" si="12"/>
        <v>0</v>
      </c>
      <c r="AO25" s="477">
        <f t="shared" si="13"/>
        <v>0</v>
      </c>
      <c r="AP25" s="481">
        <f t="shared" si="33"/>
        <v>0</v>
      </c>
      <c r="AQ25" s="481">
        <f t="shared" si="34"/>
        <v>0</v>
      </c>
      <c r="AR25" s="481">
        <f t="shared" si="35"/>
        <v>0</v>
      </c>
      <c r="AS25" s="481">
        <f t="shared" si="36"/>
        <v>0</v>
      </c>
      <c r="AT25" s="479">
        <f t="shared" si="14"/>
        <v>0</v>
      </c>
      <c r="AU25" s="479">
        <f t="shared" si="15"/>
        <v>0</v>
      </c>
      <c r="AV25" s="471">
        <f>IF(Données!$H$8="x",AW25,AX25)</f>
        <v>4.1166666666666654</v>
      </c>
      <c r="AW25" s="471">
        <f t="shared" si="16"/>
        <v>2.0583333333333327</v>
      </c>
      <c r="AX25" s="471">
        <f t="shared" si="40"/>
        <v>4.1166666666666654</v>
      </c>
      <c r="AY25" s="467" t="str">
        <f t="shared" si="17"/>
        <v>Ma</v>
      </c>
      <c r="AZ25" s="7">
        <f>IF((S39="M6")*AND(S40&lt;&gt;""),VLOOKUP(S40,Échelle!$BS$5:$BT$31,2),)</f>
        <v>0</v>
      </c>
      <c r="BA25" s="4" t="s">
        <v>18</v>
      </c>
      <c r="BB25" s="148"/>
    </row>
    <row r="26" spans="2:54" x14ac:dyDescent="0.2">
      <c r="B26" s="467" t="s">
        <v>178</v>
      </c>
      <c r="C26" s="468" t="s">
        <v>361</v>
      </c>
      <c r="D26" s="469"/>
      <c r="E26" s="469"/>
      <c r="F26" s="470"/>
      <c r="G26" s="470"/>
      <c r="H26" s="470"/>
      <c r="I26" s="470"/>
      <c r="J26" s="487"/>
      <c r="K26" s="487"/>
      <c r="L26" s="471">
        <f t="shared" si="23"/>
        <v>0</v>
      </c>
      <c r="M26" s="488">
        <f t="shared" si="18"/>
        <v>0.31666666666666665</v>
      </c>
      <c r="N26" s="488">
        <f>IF(Mar!$H$48="x",AV26+Mar!$N$37,AV26)</f>
        <v>11.716666666666661</v>
      </c>
      <c r="O26" s="483" t="str">
        <f t="shared" si="3"/>
        <v>-</v>
      </c>
      <c r="P26" s="489">
        <f t="shared" si="4"/>
        <v>11.399999999999995</v>
      </c>
      <c r="Q26" s="474">
        <f t="shared" si="5"/>
        <v>0</v>
      </c>
      <c r="R26" s="474">
        <f t="shared" si="6"/>
        <v>0</v>
      </c>
      <c r="S26" s="474">
        <f t="shared" si="7"/>
        <v>0</v>
      </c>
      <c r="T26" s="474">
        <f t="shared" si="8"/>
        <v>0</v>
      </c>
      <c r="U26" s="488">
        <f t="shared" si="9"/>
        <v>0</v>
      </c>
      <c r="V26" s="471">
        <f t="shared" si="39"/>
        <v>0</v>
      </c>
      <c r="W26" s="471">
        <f t="shared" si="10"/>
        <v>0</v>
      </c>
      <c r="X26" s="471">
        <f t="shared" si="11"/>
        <v>0</v>
      </c>
      <c r="Y26" s="470"/>
      <c r="Z26" s="470"/>
      <c r="AA26" s="469"/>
      <c r="AB26" s="475">
        <f t="shared" si="29"/>
        <v>0</v>
      </c>
      <c r="AC26" s="475">
        <f t="shared" si="30"/>
        <v>0</v>
      </c>
      <c r="AD26" s="475">
        <f t="shared" si="19"/>
        <v>0</v>
      </c>
      <c r="AE26" s="475">
        <f t="shared" si="31"/>
        <v>0</v>
      </c>
      <c r="AF26" s="476">
        <f t="shared" si="20"/>
        <v>0</v>
      </c>
      <c r="AG26" s="475">
        <f t="shared" si="21"/>
        <v>0</v>
      </c>
      <c r="AH26" s="476">
        <f t="shared" si="22"/>
        <v>0</v>
      </c>
      <c r="AI26" s="475">
        <f t="shared" si="32"/>
        <v>0</v>
      </c>
      <c r="AJ26" s="477">
        <f>IF((D26&lt;&gt;""),VLOOKUP(D26,Données!$E$36:$H$59,4,FALSE),)</f>
        <v>0</v>
      </c>
      <c r="AK26" s="477">
        <f t="shared" si="25"/>
        <v>0</v>
      </c>
      <c r="AL26" s="478">
        <f t="shared" si="26"/>
        <v>0</v>
      </c>
      <c r="AM26" s="479">
        <f t="shared" si="27"/>
        <v>0</v>
      </c>
      <c r="AN26" s="480">
        <f t="shared" si="12"/>
        <v>0</v>
      </c>
      <c r="AO26" s="477">
        <f t="shared" si="13"/>
        <v>0</v>
      </c>
      <c r="AP26" s="481">
        <f t="shared" si="33"/>
        <v>0</v>
      </c>
      <c r="AQ26" s="481">
        <f t="shared" si="34"/>
        <v>0</v>
      </c>
      <c r="AR26" s="481">
        <f t="shared" si="35"/>
        <v>0</v>
      </c>
      <c r="AS26" s="481">
        <f t="shared" si="36"/>
        <v>0</v>
      </c>
      <c r="AT26" s="479">
        <f t="shared" si="14"/>
        <v>0</v>
      </c>
      <c r="AU26" s="479">
        <f t="shared" si="15"/>
        <v>0</v>
      </c>
      <c r="AV26" s="471">
        <f>IF(Données!$H$8="x",AW26,AX26)</f>
        <v>4.4333333333333318</v>
      </c>
      <c r="AW26" s="471">
        <f t="shared" si="16"/>
        <v>2.2166666666666659</v>
      </c>
      <c r="AX26" s="471">
        <f t="shared" si="40"/>
        <v>4.4333333333333318</v>
      </c>
      <c r="AY26" s="467" t="str">
        <f t="shared" si="17"/>
        <v>Me</v>
      </c>
      <c r="AZ26" s="7">
        <f>IF((S39="M7")*AND(S40&lt;&gt;""),VLOOKUP(S40,Échelle!$BV$5:$BW$31,2),)</f>
        <v>0</v>
      </c>
      <c r="BA26" s="4" t="s">
        <v>19</v>
      </c>
      <c r="BB26" s="148"/>
    </row>
    <row r="27" spans="2:54" x14ac:dyDescent="0.2">
      <c r="B27" s="467" t="s">
        <v>180</v>
      </c>
      <c r="C27" s="468" t="s">
        <v>362</v>
      </c>
      <c r="D27" s="469"/>
      <c r="E27" s="469"/>
      <c r="F27" s="470"/>
      <c r="G27" s="470"/>
      <c r="H27" s="470"/>
      <c r="I27" s="470"/>
      <c r="J27" s="487"/>
      <c r="K27" s="487"/>
      <c r="L27" s="471">
        <f t="shared" si="23"/>
        <v>0</v>
      </c>
      <c r="M27" s="488">
        <f t="shared" si="18"/>
        <v>0.31666666666666665</v>
      </c>
      <c r="N27" s="488">
        <f>IF(Mar!$H$48="x",AV27+Mar!$N$37,AV27)</f>
        <v>12.033333333333328</v>
      </c>
      <c r="O27" s="483" t="str">
        <f t="shared" si="3"/>
        <v>-</v>
      </c>
      <c r="P27" s="489">
        <f t="shared" si="4"/>
        <v>11.716666666666661</v>
      </c>
      <c r="Q27" s="474">
        <f t="shared" si="5"/>
        <v>0</v>
      </c>
      <c r="R27" s="474">
        <f t="shared" si="6"/>
        <v>0</v>
      </c>
      <c r="S27" s="474">
        <f t="shared" si="7"/>
        <v>0</v>
      </c>
      <c r="T27" s="474">
        <f t="shared" si="8"/>
        <v>0</v>
      </c>
      <c r="U27" s="488">
        <f t="shared" si="9"/>
        <v>0</v>
      </c>
      <c r="V27" s="471">
        <f t="shared" si="39"/>
        <v>0</v>
      </c>
      <c r="W27" s="471">
        <f t="shared" si="10"/>
        <v>0</v>
      </c>
      <c r="X27" s="471">
        <f t="shared" si="11"/>
        <v>0</v>
      </c>
      <c r="Y27" s="470"/>
      <c r="Z27" s="470"/>
      <c r="AA27" s="469"/>
      <c r="AB27" s="475">
        <f t="shared" si="29"/>
        <v>0</v>
      </c>
      <c r="AC27" s="475">
        <f t="shared" si="30"/>
        <v>0</v>
      </c>
      <c r="AD27" s="475">
        <f t="shared" si="19"/>
        <v>0</v>
      </c>
      <c r="AE27" s="475">
        <f t="shared" si="31"/>
        <v>0</v>
      </c>
      <c r="AF27" s="476">
        <f t="shared" si="20"/>
        <v>0</v>
      </c>
      <c r="AG27" s="475">
        <f t="shared" si="21"/>
        <v>0</v>
      </c>
      <c r="AH27" s="476">
        <f t="shared" si="22"/>
        <v>0</v>
      </c>
      <c r="AI27" s="475">
        <f t="shared" si="32"/>
        <v>0</v>
      </c>
      <c r="AJ27" s="477">
        <f>IF((D27&lt;&gt;""),VLOOKUP(D27,Données!$E$36:$H$59,4,FALSE),)</f>
        <v>0</v>
      </c>
      <c r="AK27" s="477">
        <f t="shared" si="25"/>
        <v>0</v>
      </c>
      <c r="AL27" s="478">
        <f t="shared" si="26"/>
        <v>0</v>
      </c>
      <c r="AM27" s="479">
        <f t="shared" si="27"/>
        <v>0</v>
      </c>
      <c r="AN27" s="480">
        <f t="shared" si="12"/>
        <v>0</v>
      </c>
      <c r="AO27" s="477">
        <f t="shared" si="13"/>
        <v>0</v>
      </c>
      <c r="AP27" s="481">
        <f t="shared" si="33"/>
        <v>0</v>
      </c>
      <c r="AQ27" s="481">
        <f t="shared" si="34"/>
        <v>0</v>
      </c>
      <c r="AR27" s="481">
        <f t="shared" si="35"/>
        <v>0</v>
      </c>
      <c r="AS27" s="481">
        <f t="shared" si="36"/>
        <v>0</v>
      </c>
      <c r="AT27" s="479">
        <f t="shared" si="14"/>
        <v>0</v>
      </c>
      <c r="AU27" s="479">
        <f t="shared" si="15"/>
        <v>0</v>
      </c>
      <c r="AV27" s="471">
        <f>IF(Données!$H$8="x",AW27,AX27)</f>
        <v>4.7499999999999982</v>
      </c>
      <c r="AW27" s="471">
        <f t="shared" si="16"/>
        <v>2.3749999999999991</v>
      </c>
      <c r="AX27" s="471">
        <f t="shared" si="40"/>
        <v>4.7499999999999982</v>
      </c>
      <c r="AY27" s="467" t="str">
        <f t="shared" si="17"/>
        <v>Je</v>
      </c>
      <c r="AZ27" s="7">
        <f>IF((S39="M7bis")*AND(S40&lt;&gt;""),VLOOKUP(S40,Échelle!$BY$5:$BZ$31,2),)</f>
        <v>0</v>
      </c>
      <c r="BA27" s="4" t="s">
        <v>20</v>
      </c>
      <c r="BB27" s="148"/>
    </row>
    <row r="28" spans="2:54" x14ac:dyDescent="0.2">
      <c r="B28" s="467" t="s">
        <v>182</v>
      </c>
      <c r="C28" s="485" t="s">
        <v>363</v>
      </c>
      <c r="D28" s="486"/>
      <c r="E28" s="486"/>
      <c r="F28" s="470"/>
      <c r="G28" s="470"/>
      <c r="H28" s="470"/>
      <c r="I28" s="470"/>
      <c r="J28" s="487"/>
      <c r="K28" s="487"/>
      <c r="L28" s="471">
        <f t="shared" si="23"/>
        <v>0</v>
      </c>
      <c r="M28" s="488">
        <f>M27+L28</f>
        <v>0.31666666666666665</v>
      </c>
      <c r="N28" s="488">
        <f>IF(Mar!$H$48="x",AV28+Mar!$N$37,AV28)</f>
        <v>12.349999999999994</v>
      </c>
      <c r="O28" s="483" t="str">
        <f t="shared" si="3"/>
        <v>-</v>
      </c>
      <c r="P28" s="489">
        <f t="shared" si="4"/>
        <v>12.033333333333328</v>
      </c>
      <c r="Q28" s="474">
        <f t="shared" si="5"/>
        <v>0</v>
      </c>
      <c r="R28" s="474">
        <f t="shared" si="6"/>
        <v>0</v>
      </c>
      <c r="S28" s="474">
        <f t="shared" si="7"/>
        <v>0</v>
      </c>
      <c r="T28" s="474">
        <f t="shared" si="8"/>
        <v>0</v>
      </c>
      <c r="U28" s="488">
        <f t="shared" si="9"/>
        <v>0</v>
      </c>
      <c r="V28" s="471">
        <f t="shared" si="39"/>
        <v>0</v>
      </c>
      <c r="W28" s="471">
        <f t="shared" si="10"/>
        <v>0</v>
      </c>
      <c r="X28" s="471">
        <f t="shared" si="11"/>
        <v>0</v>
      </c>
      <c r="Y28" s="470"/>
      <c r="Z28" s="470"/>
      <c r="AA28" s="469"/>
      <c r="AB28" s="475">
        <f t="shared" si="29"/>
        <v>0</v>
      </c>
      <c r="AC28" s="475">
        <f t="shared" si="30"/>
        <v>0</v>
      </c>
      <c r="AD28" s="475">
        <f t="shared" si="19"/>
        <v>0</v>
      </c>
      <c r="AE28" s="475">
        <f t="shared" si="31"/>
        <v>0</v>
      </c>
      <c r="AF28" s="476">
        <f t="shared" si="20"/>
        <v>0</v>
      </c>
      <c r="AG28" s="475">
        <f t="shared" si="21"/>
        <v>0</v>
      </c>
      <c r="AH28" s="476">
        <f t="shared" si="22"/>
        <v>0</v>
      </c>
      <c r="AI28" s="475">
        <f t="shared" si="32"/>
        <v>0</v>
      </c>
      <c r="AJ28" s="477">
        <f>IF((D28&lt;&gt;""),VLOOKUP(D28,Données!$E$36:$H$59,4,FALSE),)</f>
        <v>0</v>
      </c>
      <c r="AK28" s="477">
        <f t="shared" si="25"/>
        <v>0</v>
      </c>
      <c r="AL28" s="478">
        <f t="shared" si="26"/>
        <v>0</v>
      </c>
      <c r="AM28" s="479">
        <f t="shared" si="27"/>
        <v>0</v>
      </c>
      <c r="AN28" s="480">
        <f t="shared" si="12"/>
        <v>0</v>
      </c>
      <c r="AO28" s="477">
        <f t="shared" si="13"/>
        <v>0</v>
      </c>
      <c r="AP28" s="481">
        <f t="shared" si="33"/>
        <v>0</v>
      </c>
      <c r="AQ28" s="481">
        <f t="shared" si="34"/>
        <v>0</v>
      </c>
      <c r="AR28" s="481">
        <f t="shared" si="35"/>
        <v>0</v>
      </c>
      <c r="AS28" s="481">
        <f t="shared" si="36"/>
        <v>0</v>
      </c>
      <c r="AT28" s="479">
        <f t="shared" si="14"/>
        <v>0</v>
      </c>
      <c r="AU28" s="479">
        <f t="shared" si="15"/>
        <v>0</v>
      </c>
      <c r="AV28" s="471">
        <f>IF(Données!$H$8="x",AW28,AX28)</f>
        <v>5.0666666666666647</v>
      </c>
      <c r="AW28" s="471">
        <f t="shared" si="16"/>
        <v>2.5333333333333323</v>
      </c>
      <c r="AX28" s="471">
        <f t="shared" si="40"/>
        <v>5.0666666666666647</v>
      </c>
      <c r="AY28" s="467" t="str">
        <f t="shared" si="17"/>
        <v>Ve</v>
      </c>
      <c r="AZ28" s="7">
        <f>IF((S39="O1")*AND(S40&lt;&gt;""),VLOOKUP(S40,Échelle!$Q$39:$R$65,2),)</f>
        <v>0</v>
      </c>
      <c r="BA28" s="4" t="s">
        <v>22</v>
      </c>
      <c r="BB28" s="148"/>
    </row>
    <row r="29" spans="2:54" x14ac:dyDescent="0.2">
      <c r="B29" s="403" t="s">
        <v>184</v>
      </c>
      <c r="C29" s="412" t="s">
        <v>364</v>
      </c>
      <c r="D29" s="411"/>
      <c r="E29" s="411"/>
      <c r="F29" s="401"/>
      <c r="G29" s="401"/>
      <c r="H29" s="401"/>
      <c r="I29" s="401"/>
      <c r="J29" s="406"/>
      <c r="K29" s="406"/>
      <c r="L29" s="402">
        <f>(G29-F29)+(I29-H29)+(K29-J29)</f>
        <v>0</v>
      </c>
      <c r="M29" s="407">
        <f>M28+L29</f>
        <v>0.31666666666666665</v>
      </c>
      <c r="N29" s="407">
        <f>IF(Mar!$H$48="x",AV29+Mar!$N$37,AV29)</f>
        <v>12.349999999999994</v>
      </c>
      <c r="O29" s="408" t="str">
        <f t="shared" si="3"/>
        <v>-</v>
      </c>
      <c r="P29" s="409">
        <f t="shared" si="4"/>
        <v>12.033333333333328</v>
      </c>
      <c r="Q29" s="410">
        <f t="shared" si="5"/>
        <v>0</v>
      </c>
      <c r="R29" s="410">
        <f t="shared" si="6"/>
        <v>0</v>
      </c>
      <c r="S29" s="410">
        <f t="shared" si="7"/>
        <v>0</v>
      </c>
      <c r="T29" s="410">
        <f t="shared" si="8"/>
        <v>0</v>
      </c>
      <c r="U29" s="407">
        <f t="shared" si="9"/>
        <v>0</v>
      </c>
      <c r="V29" s="402">
        <f>L29</f>
        <v>0</v>
      </c>
      <c r="W29" s="402">
        <f t="shared" si="10"/>
        <v>0</v>
      </c>
      <c r="X29" s="402">
        <f t="shared" si="11"/>
        <v>0</v>
      </c>
      <c r="Y29" s="401"/>
      <c r="Z29" s="401"/>
      <c r="AA29" s="411"/>
      <c r="AB29" s="420">
        <f t="shared" si="29"/>
        <v>0</v>
      </c>
      <c r="AC29" s="420">
        <f t="shared" si="30"/>
        <v>0</v>
      </c>
      <c r="AD29" s="420">
        <f t="shared" si="19"/>
        <v>0</v>
      </c>
      <c r="AE29" s="420">
        <f t="shared" si="31"/>
        <v>0</v>
      </c>
      <c r="AF29" s="421">
        <f t="shared" si="20"/>
        <v>0</v>
      </c>
      <c r="AG29" s="420">
        <f t="shared" si="21"/>
        <v>0</v>
      </c>
      <c r="AH29" s="421">
        <f t="shared" si="22"/>
        <v>0</v>
      </c>
      <c r="AI29" s="420">
        <f t="shared" si="32"/>
        <v>0</v>
      </c>
      <c r="AJ29" s="422">
        <f>IF((D29&lt;&gt;""),VLOOKUP(D29,Données!$E$36:$H$59,4,FALSE),)</f>
        <v>0</v>
      </c>
      <c r="AK29" s="422">
        <f t="shared" si="25"/>
        <v>0</v>
      </c>
      <c r="AL29" s="423">
        <f t="shared" si="26"/>
        <v>0</v>
      </c>
      <c r="AM29" s="424">
        <f t="shared" si="27"/>
        <v>0</v>
      </c>
      <c r="AN29" s="425">
        <f t="shared" si="12"/>
        <v>0</v>
      </c>
      <c r="AO29" s="422">
        <f t="shared" si="13"/>
        <v>0</v>
      </c>
      <c r="AP29" s="426">
        <f t="shared" si="33"/>
        <v>0</v>
      </c>
      <c r="AQ29" s="426">
        <f t="shared" si="34"/>
        <v>0</v>
      </c>
      <c r="AR29" s="426">
        <f t="shared" si="35"/>
        <v>0</v>
      </c>
      <c r="AS29" s="426">
        <f t="shared" si="36"/>
        <v>0</v>
      </c>
      <c r="AT29" s="424">
        <f t="shared" si="14"/>
        <v>0</v>
      </c>
      <c r="AU29" s="424">
        <f t="shared" si="15"/>
        <v>0</v>
      </c>
      <c r="AV29" s="402">
        <f>IF(Données!$H$8="x",AW29,AX29)</f>
        <v>5.0666666666666647</v>
      </c>
      <c r="AW29" s="402">
        <f t="shared" si="16"/>
        <v>2.5333333333333323</v>
      </c>
      <c r="AX29" s="402">
        <f>AX28</f>
        <v>5.0666666666666647</v>
      </c>
      <c r="AY29" s="403" t="str">
        <f t="shared" si="17"/>
        <v>Sa</v>
      </c>
      <c r="AZ29" s="423">
        <f>IF((S39="O2")*AND(S40&lt;&gt;""),VLOOKUP(S40,Échelle!$T$39:$U$65,2),)</f>
        <v>0</v>
      </c>
      <c r="BA29" s="424" t="s">
        <v>23</v>
      </c>
      <c r="BB29" s="148"/>
    </row>
    <row r="30" spans="2:54" x14ac:dyDescent="0.2">
      <c r="B30" s="403" t="s">
        <v>186</v>
      </c>
      <c r="C30" s="412" t="s">
        <v>365</v>
      </c>
      <c r="D30" s="411"/>
      <c r="E30" s="411"/>
      <c r="F30" s="401"/>
      <c r="G30" s="401"/>
      <c r="H30" s="401"/>
      <c r="I30" s="401"/>
      <c r="J30" s="406"/>
      <c r="K30" s="406"/>
      <c r="L30" s="402">
        <f>(G30-F30)+(I30-H30)+(K30-J30)</f>
        <v>0</v>
      </c>
      <c r="M30" s="407">
        <f t="shared" si="18"/>
        <v>0.31666666666666665</v>
      </c>
      <c r="N30" s="407">
        <f>IF(Mar!$H$48="x",AV30+Mar!$N$37,AV30)</f>
        <v>12.349999999999994</v>
      </c>
      <c r="O30" s="408" t="str">
        <f t="shared" si="3"/>
        <v>-</v>
      </c>
      <c r="P30" s="409">
        <f t="shared" si="4"/>
        <v>12.033333333333328</v>
      </c>
      <c r="Q30" s="410">
        <f t="shared" si="5"/>
        <v>0</v>
      </c>
      <c r="R30" s="410">
        <f t="shared" si="6"/>
        <v>0</v>
      </c>
      <c r="S30" s="410">
        <f t="shared" si="7"/>
        <v>0</v>
      </c>
      <c r="T30" s="410">
        <f t="shared" si="8"/>
        <v>0</v>
      </c>
      <c r="U30" s="407">
        <f t="shared" si="9"/>
        <v>0</v>
      </c>
      <c r="V30" s="402">
        <f>L30</f>
        <v>0</v>
      </c>
      <c r="W30" s="402">
        <f t="shared" si="10"/>
        <v>0</v>
      </c>
      <c r="X30" s="402">
        <f t="shared" si="11"/>
        <v>0</v>
      </c>
      <c r="Y30" s="401"/>
      <c r="Z30" s="401"/>
      <c r="AA30" s="411"/>
      <c r="AB30" s="420">
        <f t="shared" si="29"/>
        <v>0</v>
      </c>
      <c r="AC30" s="420">
        <f t="shared" si="30"/>
        <v>0</v>
      </c>
      <c r="AD30" s="420">
        <f t="shared" si="19"/>
        <v>0</v>
      </c>
      <c r="AE30" s="420">
        <f t="shared" si="31"/>
        <v>0</v>
      </c>
      <c r="AF30" s="421">
        <f t="shared" si="20"/>
        <v>0</v>
      </c>
      <c r="AG30" s="420">
        <f t="shared" si="21"/>
        <v>0</v>
      </c>
      <c r="AH30" s="421">
        <f t="shared" si="22"/>
        <v>0</v>
      </c>
      <c r="AI30" s="420">
        <f t="shared" si="32"/>
        <v>0</v>
      </c>
      <c r="AJ30" s="422">
        <f>IF((D30&lt;&gt;""),VLOOKUP(D30,Données!$E$36:$H$59,4,FALSE),)</f>
        <v>0</v>
      </c>
      <c r="AK30" s="422">
        <f t="shared" si="25"/>
        <v>0</v>
      </c>
      <c r="AL30" s="423">
        <f t="shared" si="26"/>
        <v>0</v>
      </c>
      <c r="AM30" s="424">
        <f t="shared" si="27"/>
        <v>0</v>
      </c>
      <c r="AN30" s="425">
        <f t="shared" si="12"/>
        <v>0</v>
      </c>
      <c r="AO30" s="422">
        <f t="shared" si="13"/>
        <v>0</v>
      </c>
      <c r="AP30" s="426">
        <f t="shared" si="33"/>
        <v>0</v>
      </c>
      <c r="AQ30" s="426">
        <f t="shared" si="34"/>
        <v>0</v>
      </c>
      <c r="AR30" s="426">
        <f t="shared" si="35"/>
        <v>0</v>
      </c>
      <c r="AS30" s="426">
        <f t="shared" si="36"/>
        <v>0</v>
      </c>
      <c r="AT30" s="424">
        <f t="shared" si="14"/>
        <v>0</v>
      </c>
      <c r="AU30" s="424">
        <f t="shared" si="15"/>
        <v>0</v>
      </c>
      <c r="AV30" s="402">
        <f>IF(Données!$H$8="x",AW30,AX30)</f>
        <v>5.0666666666666647</v>
      </c>
      <c r="AW30" s="402">
        <f t="shared" si="16"/>
        <v>2.5333333333333323</v>
      </c>
      <c r="AX30" s="402">
        <f>AX29</f>
        <v>5.0666666666666647</v>
      </c>
      <c r="AY30" s="403" t="str">
        <f t="shared" si="17"/>
        <v>Di</v>
      </c>
      <c r="AZ30" s="423">
        <f>IF((S39="O2ir")*AND(S40&lt;&gt;""),VLOOKUP(S40,Échelle!$AR$39:$AS$65,2),)</f>
        <v>0</v>
      </c>
      <c r="BA30" s="424" t="s">
        <v>31</v>
      </c>
      <c r="BB30" s="148"/>
    </row>
    <row r="31" spans="2:54" x14ac:dyDescent="0.2">
      <c r="B31" s="467" t="s">
        <v>188</v>
      </c>
      <c r="C31" s="468" t="s">
        <v>366</v>
      </c>
      <c r="D31" s="469"/>
      <c r="E31" s="469"/>
      <c r="F31" s="470"/>
      <c r="G31" s="470"/>
      <c r="H31" s="470"/>
      <c r="I31" s="470"/>
      <c r="J31" s="487"/>
      <c r="K31" s="487"/>
      <c r="L31" s="471">
        <f>(G31-F31)+(I31-H31)+(K31-J31)+AJ31+AO31</f>
        <v>0</v>
      </c>
      <c r="M31" s="488">
        <f t="shared" si="18"/>
        <v>0.31666666666666665</v>
      </c>
      <c r="N31" s="488">
        <f>IF(Mar!$H$48="x",AV31+Mar!$N$37,AV31)</f>
        <v>12.666666666666661</v>
      </c>
      <c r="O31" s="483" t="str">
        <f t="shared" si="3"/>
        <v>-</v>
      </c>
      <c r="P31" s="489">
        <f t="shared" si="4"/>
        <v>12.349999999999994</v>
      </c>
      <c r="Q31" s="474">
        <f t="shared" si="5"/>
        <v>0</v>
      </c>
      <c r="R31" s="474">
        <f t="shared" si="6"/>
        <v>0</v>
      </c>
      <c r="S31" s="474">
        <f t="shared" si="7"/>
        <v>0</v>
      </c>
      <c r="T31" s="474">
        <f t="shared" si="8"/>
        <v>0</v>
      </c>
      <c r="U31" s="488">
        <f t="shared" si="9"/>
        <v>0</v>
      </c>
      <c r="V31" s="471">
        <f>IF(D31="F",L31,0)</f>
        <v>0</v>
      </c>
      <c r="W31" s="471">
        <f t="shared" si="10"/>
        <v>0</v>
      </c>
      <c r="X31" s="471">
        <f t="shared" si="11"/>
        <v>0</v>
      </c>
      <c r="Y31" s="470"/>
      <c r="Z31" s="470"/>
      <c r="AA31" s="469"/>
      <c r="AB31" s="475">
        <f t="shared" si="29"/>
        <v>0</v>
      </c>
      <c r="AC31" s="475">
        <f t="shared" si="30"/>
        <v>0</v>
      </c>
      <c r="AD31" s="475">
        <f t="shared" si="19"/>
        <v>0</v>
      </c>
      <c r="AE31" s="475">
        <f t="shared" si="31"/>
        <v>0</v>
      </c>
      <c r="AF31" s="476">
        <f t="shared" si="20"/>
        <v>0</v>
      </c>
      <c r="AG31" s="475">
        <f t="shared" si="21"/>
        <v>0</v>
      </c>
      <c r="AH31" s="476">
        <f t="shared" si="22"/>
        <v>0</v>
      </c>
      <c r="AI31" s="475">
        <f t="shared" si="32"/>
        <v>0</v>
      </c>
      <c r="AJ31" s="477">
        <f>IF((D31&lt;&gt;""),VLOOKUP(D31,Données!$E$36:$H$59,4,FALSE),)</f>
        <v>0</v>
      </c>
      <c r="AK31" s="477">
        <f t="shared" si="25"/>
        <v>0</v>
      </c>
      <c r="AL31" s="478">
        <f t="shared" si="26"/>
        <v>0</v>
      </c>
      <c r="AM31" s="479">
        <f t="shared" si="27"/>
        <v>0</v>
      </c>
      <c r="AN31" s="480">
        <f t="shared" si="12"/>
        <v>0</v>
      </c>
      <c r="AO31" s="477">
        <f t="shared" si="13"/>
        <v>0</v>
      </c>
      <c r="AP31" s="481">
        <f t="shared" si="33"/>
        <v>0</v>
      </c>
      <c r="AQ31" s="481">
        <f t="shared" si="34"/>
        <v>0</v>
      </c>
      <c r="AR31" s="481">
        <f t="shared" si="35"/>
        <v>0</v>
      </c>
      <c r="AS31" s="481">
        <f t="shared" si="36"/>
        <v>0</v>
      </c>
      <c r="AT31" s="479">
        <f t="shared" si="14"/>
        <v>0</v>
      </c>
      <c r="AU31" s="479">
        <f t="shared" si="15"/>
        <v>0</v>
      </c>
      <c r="AV31" s="471">
        <f>IF(Données!$H$8="x",AW31,AX31)</f>
        <v>5.3833333333333311</v>
      </c>
      <c r="AW31" s="471">
        <f t="shared" si="16"/>
        <v>2.6916666666666655</v>
      </c>
      <c r="AX31" s="471">
        <f>IF(D31="L",AX30,(AX30+"07:36"))</f>
        <v>5.3833333333333311</v>
      </c>
      <c r="AY31" s="467" t="str">
        <f t="shared" si="17"/>
        <v>Lu</v>
      </c>
      <c r="AZ31" s="7">
        <f>IF((S39="O3")*AND(S40&lt;&gt;""),VLOOKUP(S40,Échelle!$W$39:$X$65,2),)</f>
        <v>0</v>
      </c>
      <c r="BA31" s="4" t="s">
        <v>24</v>
      </c>
      <c r="BB31" s="148"/>
    </row>
    <row r="32" spans="2:54" x14ac:dyDescent="0.2">
      <c r="B32" s="467" t="s">
        <v>176</v>
      </c>
      <c r="C32" s="468" t="s">
        <v>367</v>
      </c>
      <c r="D32" s="469"/>
      <c r="E32" s="469"/>
      <c r="F32" s="470"/>
      <c r="G32" s="470"/>
      <c r="H32" s="470"/>
      <c r="I32" s="470"/>
      <c r="J32" s="487"/>
      <c r="K32" s="487"/>
      <c r="L32" s="471">
        <f>(G32-F32)+(I32-H32)+(K32-J32)+AJ32+AO32</f>
        <v>0</v>
      </c>
      <c r="M32" s="488">
        <f t="shared" si="18"/>
        <v>0.31666666666666665</v>
      </c>
      <c r="N32" s="488">
        <f>IF(Mar!$H$48="x",AV32+Mar!$N$37,AV32)</f>
        <v>12.983333333333327</v>
      </c>
      <c r="O32" s="483" t="str">
        <f t="shared" si="3"/>
        <v>-</v>
      </c>
      <c r="P32" s="489">
        <f t="shared" si="4"/>
        <v>12.666666666666661</v>
      </c>
      <c r="Q32" s="474">
        <f t="shared" si="5"/>
        <v>0</v>
      </c>
      <c r="R32" s="474">
        <f t="shared" si="6"/>
        <v>0</v>
      </c>
      <c r="S32" s="474">
        <f t="shared" si="7"/>
        <v>0</v>
      </c>
      <c r="T32" s="474">
        <f t="shared" si="8"/>
        <v>0</v>
      </c>
      <c r="U32" s="488">
        <f t="shared" si="9"/>
        <v>0</v>
      </c>
      <c r="V32" s="471">
        <f>IF(D32="F",L32,0)</f>
        <v>0</v>
      </c>
      <c r="W32" s="471">
        <f t="shared" si="10"/>
        <v>0</v>
      </c>
      <c r="X32" s="471">
        <f t="shared" si="11"/>
        <v>0</v>
      </c>
      <c r="Y32" s="470"/>
      <c r="Z32" s="470"/>
      <c r="AA32" s="469"/>
      <c r="AB32" s="475">
        <f t="shared" si="29"/>
        <v>0</v>
      </c>
      <c r="AC32" s="475">
        <f t="shared" si="30"/>
        <v>0</v>
      </c>
      <c r="AD32" s="475">
        <f t="shared" si="19"/>
        <v>0</v>
      </c>
      <c r="AE32" s="475">
        <f t="shared" si="31"/>
        <v>0</v>
      </c>
      <c r="AF32" s="476">
        <f t="shared" si="20"/>
        <v>0</v>
      </c>
      <c r="AG32" s="475">
        <f t="shared" si="21"/>
        <v>0</v>
      </c>
      <c r="AH32" s="476">
        <f t="shared" si="22"/>
        <v>0</v>
      </c>
      <c r="AI32" s="475">
        <f t="shared" si="32"/>
        <v>0</v>
      </c>
      <c r="AJ32" s="477">
        <f>IF((D32&lt;&gt;""),VLOOKUP(D32,Données!$E$36:$H$59,4,FALSE),)</f>
        <v>0</v>
      </c>
      <c r="AK32" s="477">
        <f t="shared" si="25"/>
        <v>0</v>
      </c>
      <c r="AL32" s="478">
        <f t="shared" si="26"/>
        <v>0</v>
      </c>
      <c r="AM32" s="479">
        <f t="shared" si="27"/>
        <v>0</v>
      </c>
      <c r="AN32" s="480">
        <f t="shared" si="12"/>
        <v>0</v>
      </c>
      <c r="AO32" s="477">
        <f t="shared" si="13"/>
        <v>0</v>
      </c>
      <c r="AP32" s="481">
        <f t="shared" si="33"/>
        <v>0</v>
      </c>
      <c r="AQ32" s="481">
        <f t="shared" si="34"/>
        <v>0</v>
      </c>
      <c r="AR32" s="481">
        <f t="shared" si="35"/>
        <v>0</v>
      </c>
      <c r="AS32" s="481">
        <f t="shared" si="36"/>
        <v>0</v>
      </c>
      <c r="AT32" s="479">
        <f t="shared" si="14"/>
        <v>0</v>
      </c>
      <c r="AU32" s="479">
        <f t="shared" si="15"/>
        <v>0</v>
      </c>
      <c r="AV32" s="471">
        <f>IF(Données!$H$8="x",AW32,AX32)</f>
        <v>5.6999999999999975</v>
      </c>
      <c r="AW32" s="471">
        <f t="shared" si="16"/>
        <v>2.8499999999999988</v>
      </c>
      <c r="AX32" s="471">
        <f>IF(D32="L",AX31,(AX31+"07:36"))</f>
        <v>5.6999999999999975</v>
      </c>
      <c r="AY32" s="467" t="str">
        <f t="shared" si="17"/>
        <v>Ma</v>
      </c>
      <c r="AZ32" s="7">
        <f>IF((S39="O3ir")*AND(S40&lt;&gt;""),VLOOKUP(S40,Échelle!$AU$39:$AV$65,2),)</f>
        <v>0</v>
      </c>
      <c r="BA32" s="4" t="s">
        <v>32</v>
      </c>
      <c r="BB32" s="148"/>
    </row>
    <row r="33" spans="2:54" x14ac:dyDescent="0.2">
      <c r="B33" s="467" t="s">
        <v>178</v>
      </c>
      <c r="C33" s="468" t="s">
        <v>368</v>
      </c>
      <c r="D33" s="469"/>
      <c r="E33" s="469"/>
      <c r="F33" s="470"/>
      <c r="G33" s="470"/>
      <c r="H33" s="470"/>
      <c r="I33" s="470"/>
      <c r="J33" s="487"/>
      <c r="K33" s="487"/>
      <c r="L33" s="471">
        <f>(G33-F33)+(I33-H33)+(K33-J33)+AJ33+AO33</f>
        <v>0</v>
      </c>
      <c r="M33" s="488">
        <f t="shared" si="18"/>
        <v>0.31666666666666665</v>
      </c>
      <c r="N33" s="488">
        <f>IF(Mar!$H$48="x",AV33+Mar!$N$37,AV33)</f>
        <v>13.299999999999994</v>
      </c>
      <c r="O33" s="483" t="str">
        <f t="shared" si="3"/>
        <v>-</v>
      </c>
      <c r="P33" s="489">
        <f t="shared" si="4"/>
        <v>12.983333333333327</v>
      </c>
      <c r="Q33" s="474">
        <f t="shared" si="5"/>
        <v>0</v>
      </c>
      <c r="R33" s="474">
        <f t="shared" si="6"/>
        <v>0</v>
      </c>
      <c r="S33" s="474">
        <f t="shared" si="7"/>
        <v>0</v>
      </c>
      <c r="T33" s="474">
        <f t="shared" si="8"/>
        <v>0</v>
      </c>
      <c r="U33" s="488">
        <f t="shared" si="9"/>
        <v>0</v>
      </c>
      <c r="V33" s="471">
        <f>IF(D33="F",L33,0)</f>
        <v>0</v>
      </c>
      <c r="W33" s="471">
        <f t="shared" si="10"/>
        <v>0</v>
      </c>
      <c r="X33" s="471">
        <f t="shared" si="11"/>
        <v>0</v>
      </c>
      <c r="Y33" s="470"/>
      <c r="Z33" s="470"/>
      <c r="AA33" s="469"/>
      <c r="AB33" s="475">
        <f t="shared" si="29"/>
        <v>0</v>
      </c>
      <c r="AC33" s="475">
        <f t="shared" si="30"/>
        <v>0</v>
      </c>
      <c r="AD33" s="475">
        <f t="shared" si="19"/>
        <v>0</v>
      </c>
      <c r="AE33" s="475">
        <f t="shared" si="31"/>
        <v>0</v>
      </c>
      <c r="AF33" s="476">
        <f t="shared" si="20"/>
        <v>0</v>
      </c>
      <c r="AG33" s="475">
        <f t="shared" si="21"/>
        <v>0</v>
      </c>
      <c r="AH33" s="476">
        <f t="shared" si="22"/>
        <v>0</v>
      </c>
      <c r="AI33" s="475">
        <f t="shared" si="32"/>
        <v>0</v>
      </c>
      <c r="AJ33" s="477">
        <f>IF((D33&lt;&gt;""),VLOOKUP(D33,Données!$E$36:$H$59,4,FALSE),)</f>
        <v>0</v>
      </c>
      <c r="AK33" s="477">
        <f t="shared" si="25"/>
        <v>0</v>
      </c>
      <c r="AL33" s="478">
        <f t="shared" si="26"/>
        <v>0</v>
      </c>
      <c r="AM33" s="479">
        <f t="shared" si="27"/>
        <v>0</v>
      </c>
      <c r="AN33" s="480">
        <f t="shared" si="12"/>
        <v>0</v>
      </c>
      <c r="AO33" s="477">
        <f t="shared" si="13"/>
        <v>0</v>
      </c>
      <c r="AP33" s="481">
        <f t="shared" si="33"/>
        <v>0</v>
      </c>
      <c r="AQ33" s="481">
        <f t="shared" si="34"/>
        <v>0</v>
      </c>
      <c r="AR33" s="481">
        <f t="shared" si="35"/>
        <v>0</v>
      </c>
      <c r="AS33" s="481">
        <f t="shared" si="36"/>
        <v>0</v>
      </c>
      <c r="AT33" s="479">
        <f t="shared" si="14"/>
        <v>0</v>
      </c>
      <c r="AU33" s="479">
        <f t="shared" si="15"/>
        <v>0</v>
      </c>
      <c r="AV33" s="471">
        <f>IF(Données!$H$8="x",AW33,AX33)</f>
        <v>6.0166666666666639</v>
      </c>
      <c r="AW33" s="471">
        <f t="shared" si="16"/>
        <v>3.008333333333332</v>
      </c>
      <c r="AX33" s="471">
        <f>IF(D33="L",AX32,(AX32+"07:36"))</f>
        <v>6.0166666666666639</v>
      </c>
      <c r="AY33" s="467" t="str">
        <f t="shared" si="17"/>
        <v>Me</v>
      </c>
      <c r="AZ33" s="7">
        <f>IF((S39="O4")*AND(S40&lt;&gt;""),VLOOKUP(S40,Échelle!$Z$39:$AA$65,2),)</f>
        <v>0</v>
      </c>
      <c r="BA33" s="4" t="s">
        <v>25</v>
      </c>
      <c r="BB33" s="148"/>
    </row>
    <row r="34" spans="2:54" x14ac:dyDescent="0.2">
      <c r="B34" s="467" t="s">
        <v>180</v>
      </c>
      <c r="C34" s="468" t="s">
        <v>369</v>
      </c>
      <c r="D34" s="469"/>
      <c r="E34" s="469"/>
      <c r="F34" s="470"/>
      <c r="G34" s="470"/>
      <c r="H34" s="470"/>
      <c r="I34" s="470"/>
      <c r="J34" s="487"/>
      <c r="K34" s="487"/>
      <c r="L34" s="471">
        <f>(G34-F34)+(I34-H34)+(K34-J34)+AJ34+AO34</f>
        <v>0</v>
      </c>
      <c r="M34" s="488">
        <f t="shared" si="18"/>
        <v>0.31666666666666665</v>
      </c>
      <c r="N34" s="488">
        <f>IF(Mar!$H$48="x",AV34+Mar!$N$37,AV34)</f>
        <v>13.61666666666666</v>
      </c>
      <c r="O34" s="483" t="str">
        <f t="shared" si="3"/>
        <v>-</v>
      </c>
      <c r="P34" s="489">
        <f t="shared" si="4"/>
        <v>13.299999999999994</v>
      </c>
      <c r="Q34" s="474">
        <f t="shared" si="5"/>
        <v>0</v>
      </c>
      <c r="R34" s="474">
        <f t="shared" si="6"/>
        <v>0</v>
      </c>
      <c r="S34" s="474">
        <f t="shared" si="7"/>
        <v>0</v>
      </c>
      <c r="T34" s="474">
        <f t="shared" si="8"/>
        <v>0</v>
      </c>
      <c r="U34" s="488">
        <f t="shared" si="9"/>
        <v>0</v>
      </c>
      <c r="V34" s="471">
        <f>IF(D34="F",L34,0)</f>
        <v>0</v>
      </c>
      <c r="W34" s="471">
        <f t="shared" si="10"/>
        <v>0</v>
      </c>
      <c r="X34" s="471">
        <f t="shared" si="11"/>
        <v>0</v>
      </c>
      <c r="Y34" s="470"/>
      <c r="Z34" s="470"/>
      <c r="AA34" s="469"/>
      <c r="AB34" s="475">
        <f t="shared" si="29"/>
        <v>0</v>
      </c>
      <c r="AC34" s="475">
        <f t="shared" si="30"/>
        <v>0</v>
      </c>
      <c r="AD34" s="475">
        <f t="shared" si="19"/>
        <v>0</v>
      </c>
      <c r="AE34" s="475">
        <f t="shared" si="31"/>
        <v>0</v>
      </c>
      <c r="AF34" s="476">
        <f t="shared" si="20"/>
        <v>0</v>
      </c>
      <c r="AG34" s="475">
        <f t="shared" si="21"/>
        <v>0</v>
      </c>
      <c r="AH34" s="476">
        <f t="shared" si="22"/>
        <v>0</v>
      </c>
      <c r="AI34" s="475">
        <f t="shared" si="32"/>
        <v>0</v>
      </c>
      <c r="AJ34" s="477">
        <f>IF((D34&lt;&gt;""),VLOOKUP(D34,Données!$E$36:$H$59,4,FALSE),)</f>
        <v>0</v>
      </c>
      <c r="AK34" s="477">
        <f t="shared" si="25"/>
        <v>0</v>
      </c>
      <c r="AL34" s="478">
        <f t="shared" si="26"/>
        <v>0</v>
      </c>
      <c r="AM34" s="479">
        <f t="shared" si="27"/>
        <v>0</v>
      </c>
      <c r="AN34" s="480">
        <f t="shared" si="12"/>
        <v>0</v>
      </c>
      <c r="AO34" s="477">
        <f t="shared" si="13"/>
        <v>0</v>
      </c>
      <c r="AP34" s="481">
        <f t="shared" si="33"/>
        <v>0</v>
      </c>
      <c r="AQ34" s="481">
        <f t="shared" si="34"/>
        <v>0</v>
      </c>
      <c r="AR34" s="481">
        <f t="shared" si="35"/>
        <v>0</v>
      </c>
      <c r="AS34" s="481">
        <f t="shared" si="36"/>
        <v>0</v>
      </c>
      <c r="AT34" s="479">
        <f t="shared" si="14"/>
        <v>0</v>
      </c>
      <c r="AU34" s="479">
        <f t="shared" si="15"/>
        <v>0</v>
      </c>
      <c r="AV34" s="471">
        <f>IF(Données!$H$8="x",AW34,AX34)</f>
        <v>6.3333333333333304</v>
      </c>
      <c r="AW34" s="471">
        <f t="shared" si="16"/>
        <v>3.1666666666666652</v>
      </c>
      <c r="AX34" s="471">
        <f>IF(D34="L",AX33,(AX33+"07:36"))</f>
        <v>6.3333333333333304</v>
      </c>
      <c r="AY34" s="467" t="str">
        <f t="shared" si="17"/>
        <v>Je</v>
      </c>
      <c r="AZ34" s="7">
        <f>IF((S39="O4bis")*AND(S40&lt;&gt;""),VLOOKUP(S40,Échelle!$BG$39:$BH$65,2),)</f>
        <v>0</v>
      </c>
      <c r="BA34" s="4" t="s">
        <v>36</v>
      </c>
      <c r="BB34" s="148"/>
    </row>
    <row r="35" spans="2:54" x14ac:dyDescent="0.2">
      <c r="B35" s="467" t="s">
        <v>182</v>
      </c>
      <c r="C35" s="485" t="s">
        <v>370</v>
      </c>
      <c r="D35" s="486"/>
      <c r="E35" s="486"/>
      <c r="F35" s="470"/>
      <c r="G35" s="470"/>
      <c r="H35" s="470"/>
      <c r="I35" s="470"/>
      <c r="J35" s="487"/>
      <c r="K35" s="487"/>
      <c r="L35" s="471">
        <f>(G35-F35)+(I35-H35)+(K35-J35)+AJ35+AO35</f>
        <v>0</v>
      </c>
      <c r="M35" s="488">
        <f>M34+L35</f>
        <v>0.31666666666666665</v>
      </c>
      <c r="N35" s="488">
        <f>IF(Mar!$H$48="x",AV35+Mar!$N$37,AV35)</f>
        <v>13.933333333333326</v>
      </c>
      <c r="O35" s="483" t="str">
        <f t="shared" si="3"/>
        <v>-</v>
      </c>
      <c r="P35" s="489">
        <f t="shared" si="4"/>
        <v>13.61666666666666</v>
      </c>
      <c r="Q35" s="474">
        <f t="shared" si="5"/>
        <v>0</v>
      </c>
      <c r="R35" s="474">
        <f t="shared" si="6"/>
        <v>0</v>
      </c>
      <c r="S35" s="474">
        <f t="shared" si="7"/>
        <v>0</v>
      </c>
      <c r="T35" s="474">
        <f t="shared" si="8"/>
        <v>0</v>
      </c>
      <c r="U35" s="488">
        <f t="shared" si="9"/>
        <v>0</v>
      </c>
      <c r="V35" s="471">
        <f>IF(D35="F",L35,0)</f>
        <v>0</v>
      </c>
      <c r="W35" s="471">
        <f t="shared" si="10"/>
        <v>0</v>
      </c>
      <c r="X35" s="471">
        <f t="shared" si="11"/>
        <v>0</v>
      </c>
      <c r="Y35" s="470"/>
      <c r="Z35" s="470"/>
      <c r="AA35" s="469"/>
      <c r="AB35" s="475">
        <f t="shared" si="29"/>
        <v>0</v>
      </c>
      <c r="AC35" s="475">
        <f t="shared" si="30"/>
        <v>0</v>
      </c>
      <c r="AD35" s="475">
        <f t="shared" si="19"/>
        <v>0</v>
      </c>
      <c r="AE35" s="475">
        <f t="shared" si="31"/>
        <v>0</v>
      </c>
      <c r="AF35" s="476">
        <f t="shared" si="20"/>
        <v>0</v>
      </c>
      <c r="AG35" s="475">
        <f t="shared" si="21"/>
        <v>0</v>
      </c>
      <c r="AH35" s="476">
        <f t="shared" si="22"/>
        <v>0</v>
      </c>
      <c r="AI35" s="475">
        <f t="shared" si="32"/>
        <v>0</v>
      </c>
      <c r="AJ35" s="477">
        <f>IF((D35&lt;&gt;""),VLOOKUP(D35,Données!$E$36:$H$59,4,FALSE),)</f>
        <v>0</v>
      </c>
      <c r="AK35" s="477">
        <f t="shared" si="25"/>
        <v>0</v>
      </c>
      <c r="AL35" s="478">
        <f t="shared" si="26"/>
        <v>0</v>
      </c>
      <c r="AM35" s="479">
        <f t="shared" si="27"/>
        <v>0</v>
      </c>
      <c r="AN35" s="480">
        <f t="shared" si="12"/>
        <v>0</v>
      </c>
      <c r="AO35" s="477">
        <f t="shared" si="13"/>
        <v>0</v>
      </c>
      <c r="AP35" s="481">
        <f t="shared" si="33"/>
        <v>0</v>
      </c>
      <c r="AQ35" s="481">
        <f t="shared" si="34"/>
        <v>0</v>
      </c>
      <c r="AR35" s="481">
        <f t="shared" si="35"/>
        <v>0</v>
      </c>
      <c r="AS35" s="481">
        <f t="shared" si="36"/>
        <v>0</v>
      </c>
      <c r="AT35" s="479">
        <f t="shared" si="14"/>
        <v>0</v>
      </c>
      <c r="AU35" s="479">
        <f t="shared" si="15"/>
        <v>0</v>
      </c>
      <c r="AV35" s="471">
        <f>IF(Données!$H$8="x",AW35,AX35)</f>
        <v>6.6499999999999968</v>
      </c>
      <c r="AW35" s="471">
        <f t="shared" si="16"/>
        <v>3.3249999999999984</v>
      </c>
      <c r="AX35" s="471">
        <f>IF(D35="L",AX34,(AX34+"07:36"))</f>
        <v>6.6499999999999968</v>
      </c>
      <c r="AY35" s="467" t="str">
        <f t="shared" si="17"/>
        <v>Ve</v>
      </c>
      <c r="AZ35" s="7">
        <f>IF((S39="O4bis-ir")*AND(S40&lt;&gt;""),VLOOKUP(S40,Échelle!$AO$39:$AP$65,2),)</f>
        <v>0</v>
      </c>
      <c r="BA35" s="4" t="s">
        <v>30</v>
      </c>
      <c r="BB35" s="148"/>
    </row>
    <row r="36" spans="2:54" x14ac:dyDescent="0.2">
      <c r="B36" s="403" t="s">
        <v>184</v>
      </c>
      <c r="C36" s="412" t="s">
        <v>371</v>
      </c>
      <c r="D36" s="411"/>
      <c r="E36" s="411"/>
      <c r="F36" s="401"/>
      <c r="G36" s="401"/>
      <c r="H36" s="401"/>
      <c r="I36" s="401"/>
      <c r="J36" s="406"/>
      <c r="K36" s="406"/>
      <c r="L36" s="402">
        <f>(G36-F36)+(I36-H36)+(K36-J36)</f>
        <v>0</v>
      </c>
      <c r="M36" s="407">
        <f>M35+L36</f>
        <v>0.31666666666666665</v>
      </c>
      <c r="N36" s="407">
        <f>IF(Mar!$H$48="x",AV36+Mar!$N$37,AV36)</f>
        <v>13.933333333333326</v>
      </c>
      <c r="O36" s="408" t="str">
        <f t="shared" si="3"/>
        <v>-</v>
      </c>
      <c r="P36" s="409">
        <f t="shared" si="4"/>
        <v>13.61666666666666</v>
      </c>
      <c r="Q36" s="410">
        <f t="shared" si="5"/>
        <v>0</v>
      </c>
      <c r="R36" s="410">
        <f t="shared" si="6"/>
        <v>0</v>
      </c>
      <c r="S36" s="410">
        <f t="shared" si="7"/>
        <v>0</v>
      </c>
      <c r="T36" s="410">
        <f t="shared" si="8"/>
        <v>0</v>
      </c>
      <c r="U36" s="407">
        <f t="shared" si="9"/>
        <v>0</v>
      </c>
      <c r="V36" s="402">
        <f>L36</f>
        <v>0</v>
      </c>
      <c r="W36" s="402">
        <f t="shared" si="10"/>
        <v>0</v>
      </c>
      <c r="X36" s="402">
        <f t="shared" si="11"/>
        <v>0</v>
      </c>
      <c r="Y36" s="401"/>
      <c r="Z36" s="401"/>
      <c r="AA36" s="411"/>
      <c r="AB36" s="420">
        <f t="shared" si="29"/>
        <v>0</v>
      </c>
      <c r="AC36" s="420">
        <f t="shared" si="30"/>
        <v>0</v>
      </c>
      <c r="AD36" s="420">
        <f t="shared" si="19"/>
        <v>0</v>
      </c>
      <c r="AE36" s="420">
        <f t="shared" si="31"/>
        <v>0</v>
      </c>
      <c r="AF36" s="421">
        <f t="shared" si="20"/>
        <v>0</v>
      </c>
      <c r="AG36" s="420">
        <f t="shared" si="21"/>
        <v>0</v>
      </c>
      <c r="AH36" s="421">
        <f t="shared" si="22"/>
        <v>0</v>
      </c>
      <c r="AI36" s="420">
        <f t="shared" si="32"/>
        <v>0</v>
      </c>
      <c r="AJ36" s="422">
        <f>IF((D36&lt;&gt;""),VLOOKUP(D36,Données!$E$36:$H$59,4,FALSE),)</f>
        <v>0</v>
      </c>
      <c r="AK36" s="422">
        <f t="shared" si="25"/>
        <v>0</v>
      </c>
      <c r="AL36" s="423">
        <f t="shared" si="26"/>
        <v>0</v>
      </c>
      <c r="AM36" s="424">
        <f t="shared" si="27"/>
        <v>0</v>
      </c>
      <c r="AN36" s="425">
        <f t="shared" si="12"/>
        <v>0</v>
      </c>
      <c r="AO36" s="422">
        <f t="shared" si="13"/>
        <v>0</v>
      </c>
      <c r="AP36" s="426">
        <f t="shared" si="33"/>
        <v>0</v>
      </c>
      <c r="AQ36" s="426">
        <f t="shared" si="34"/>
        <v>0</v>
      </c>
      <c r="AR36" s="426">
        <f t="shared" si="35"/>
        <v>0</v>
      </c>
      <c r="AS36" s="426">
        <f t="shared" si="36"/>
        <v>0</v>
      </c>
      <c r="AT36" s="424">
        <f t="shared" si="14"/>
        <v>0</v>
      </c>
      <c r="AU36" s="424">
        <f t="shared" si="15"/>
        <v>0</v>
      </c>
      <c r="AV36" s="402">
        <f>IF(Données!$H$8="x",AW36,AX36)</f>
        <v>6.6499999999999968</v>
      </c>
      <c r="AW36" s="402">
        <f t="shared" si="16"/>
        <v>3.3249999999999984</v>
      </c>
      <c r="AX36" s="402">
        <f>AX35</f>
        <v>6.6499999999999968</v>
      </c>
      <c r="AY36" s="403" t="str">
        <f t="shared" si="17"/>
        <v>Sa</v>
      </c>
      <c r="AZ36" s="423">
        <f>IF((S39="O4ir")*AND(S40&lt;&gt;""),VLOOKUP(S40,Échelle!$AX$39:$AY$65,2),)</f>
        <v>0</v>
      </c>
      <c r="BA36" s="424" t="s">
        <v>33</v>
      </c>
      <c r="BB36" s="148"/>
    </row>
    <row r="37" spans="2:54" x14ac:dyDescent="0.2">
      <c r="M37" s="4"/>
      <c r="AB37" s="200">
        <f t="shared" ref="AB37:AI37" si="41">SUM(AB7:AB36)</f>
        <v>0</v>
      </c>
      <c r="AC37" s="200">
        <f t="shared" si="41"/>
        <v>0</v>
      </c>
      <c r="AD37" s="200">
        <f t="shared" si="41"/>
        <v>0</v>
      </c>
      <c r="AE37" s="200">
        <f t="shared" si="41"/>
        <v>0</v>
      </c>
      <c r="AF37" s="200">
        <f t="shared" si="41"/>
        <v>0</v>
      </c>
      <c r="AG37" s="200">
        <f t="shared" si="41"/>
        <v>0</v>
      </c>
      <c r="AH37" s="200">
        <f t="shared" si="41"/>
        <v>0</v>
      </c>
      <c r="AI37" s="200">
        <f t="shared" si="41"/>
        <v>0</v>
      </c>
      <c r="AK37" s="200">
        <f>SUM(AK7:AK36)</f>
        <v>0</v>
      </c>
      <c r="AM37" s="4">
        <f>SUM(AM7:AM36)+AT37</f>
        <v>0</v>
      </c>
      <c r="AN37" s="39"/>
      <c r="AO37" s="7"/>
      <c r="AP37" s="4">
        <f>SUM(AP7:AP36)</f>
        <v>0</v>
      </c>
      <c r="AQ37" s="4">
        <f>SUM(AQ7:AQ36)</f>
        <v>0</v>
      </c>
      <c r="AR37" s="4">
        <f>SUM(AR7:AR36)</f>
        <v>0</v>
      </c>
      <c r="AS37" s="4">
        <f>SUM(AS7:AS36)</f>
        <v>0</v>
      </c>
      <c r="AT37" s="4">
        <f>SUM(AT7:AT36)</f>
        <v>0</v>
      </c>
      <c r="AU37" s="4">
        <f>SUM(AU7:AU36)+AT37</f>
        <v>0</v>
      </c>
      <c r="AV37" s="234"/>
      <c r="AW37" s="234"/>
      <c r="AZ37" s="7">
        <f>IF((S39="O5")*AND(S40&lt;&gt;""),VLOOKUP(S40,Échelle!$AC$39:$AD$65,2),)</f>
        <v>0</v>
      </c>
      <c r="BA37" s="4" t="s">
        <v>26</v>
      </c>
      <c r="BB37" s="4"/>
    </row>
    <row r="38" spans="2:54" x14ac:dyDescent="0.2">
      <c r="C38" s="35" t="s">
        <v>99</v>
      </c>
      <c r="D38" s="61"/>
      <c r="E38" s="61"/>
      <c r="F38" s="35"/>
      <c r="G38" s="35"/>
      <c r="H38" s="35"/>
      <c r="I38" s="4"/>
      <c r="W38" s="361" t="s">
        <v>215</v>
      </c>
      <c r="X38" s="362"/>
      <c r="Z38" s="211" t="s">
        <v>216</v>
      </c>
      <c r="AA38" s="387" t="s">
        <v>217</v>
      </c>
      <c r="AB38" s="200">
        <f t="shared" ref="AB38:AI38" si="42">IF((MINUTE(AB37)&gt;=30),(AB37+0.041666667),AB37)</f>
        <v>0</v>
      </c>
      <c r="AC38" s="200">
        <f t="shared" si="42"/>
        <v>0</v>
      </c>
      <c r="AD38" s="200">
        <f t="shared" si="42"/>
        <v>0</v>
      </c>
      <c r="AE38" s="200">
        <f t="shared" si="42"/>
        <v>0</v>
      </c>
      <c r="AF38" s="200">
        <f t="shared" si="42"/>
        <v>0</v>
      </c>
      <c r="AG38" s="200">
        <f t="shared" si="42"/>
        <v>0</v>
      </c>
      <c r="AH38" s="200">
        <f t="shared" si="42"/>
        <v>0</v>
      </c>
      <c r="AI38" s="200">
        <f t="shared" si="42"/>
        <v>0</v>
      </c>
      <c r="AK38" s="200">
        <f>IF((MINUTE(AK37)&gt;=30),(AK37+0.041666667),AK37)</f>
        <v>0</v>
      </c>
      <c r="AM38" s="97">
        <f>AM37*(6.7*AA39)</f>
        <v>0</v>
      </c>
      <c r="AN38" s="39">
        <f>SUM(AN6:AN36)</f>
        <v>0</v>
      </c>
      <c r="AO38" s="7"/>
      <c r="AP38" s="4"/>
      <c r="AQ38" s="4"/>
      <c r="AR38" s="4"/>
      <c r="AS38" s="4"/>
      <c r="AW38" s="28"/>
      <c r="AZ38" s="7">
        <f>IF((S39="O5ir")*AND(S40&lt;&gt;""),VLOOKUP(S40,Échelle!$BA$39:$BB$65,2),)</f>
        <v>0</v>
      </c>
      <c r="BA38" s="4" t="s">
        <v>34</v>
      </c>
      <c r="BB38" s="4"/>
    </row>
    <row r="39" spans="2:54" x14ac:dyDescent="0.2">
      <c r="B39" s="4"/>
      <c r="C39" s="62" t="s">
        <v>218</v>
      </c>
      <c r="D39" s="63"/>
      <c r="E39" s="63"/>
      <c r="F39" s="65"/>
      <c r="G39" s="64"/>
      <c r="H39" s="41">
        <f>Mar!$H$45</f>
        <v>33</v>
      </c>
      <c r="I39" s="4"/>
      <c r="J39" s="12" t="s">
        <v>372</v>
      </c>
      <c r="K39" s="13"/>
      <c r="L39" s="14"/>
      <c r="M39" s="13"/>
      <c r="N39" s="13"/>
      <c r="O39" s="13"/>
      <c r="P39" s="14"/>
      <c r="Q39" s="14"/>
      <c r="R39" s="24"/>
      <c r="S39" s="161" t="s">
        <v>6</v>
      </c>
      <c r="T39" s="359" t="s">
        <v>220</v>
      </c>
      <c r="U39" s="360"/>
      <c r="V39" s="360"/>
      <c r="W39" s="268">
        <v>1</v>
      </c>
      <c r="X39" s="267" t="s">
        <v>221</v>
      </c>
      <c r="Z39" s="214">
        <v>1.7758</v>
      </c>
      <c r="AA39" s="388">
        <f>Z39</f>
        <v>1.7758</v>
      </c>
      <c r="AB39" s="200">
        <f t="shared" ref="AB39:AI39" si="43">IF(MINUTE(AB38)&gt;0,FLOOR(AB38,0.041666667),AB38)</f>
        <v>0</v>
      </c>
      <c r="AC39" s="200">
        <f t="shared" si="43"/>
        <v>0</v>
      </c>
      <c r="AD39" s="200">
        <f t="shared" si="43"/>
        <v>0</v>
      </c>
      <c r="AE39" s="200">
        <f t="shared" si="43"/>
        <v>0</v>
      </c>
      <c r="AF39" s="200">
        <f t="shared" si="43"/>
        <v>0</v>
      </c>
      <c r="AG39" s="200">
        <f t="shared" si="43"/>
        <v>0</v>
      </c>
      <c r="AH39" s="200">
        <f t="shared" si="43"/>
        <v>0</v>
      </c>
      <c r="AI39" s="200">
        <f t="shared" si="43"/>
        <v>0</v>
      </c>
      <c r="AK39" s="222">
        <f>IF(MINUTE(AK38)&gt;0,FLOOR(AK38,0.041666667),AK38)</f>
        <v>0</v>
      </c>
      <c r="AL39" s="4"/>
      <c r="AM39" s="4"/>
      <c r="AO39" s="4"/>
      <c r="AP39" s="4"/>
      <c r="AQ39" s="4"/>
      <c r="AR39" s="4"/>
      <c r="AS39" s="4"/>
      <c r="AT39" s="4"/>
      <c r="AU39" s="4"/>
      <c r="AW39" s="28"/>
      <c r="AZ39" s="7">
        <f>IF((S39="O6")*AND(S40&lt;&gt;""),VLOOKUP(S40,Échelle!$AF$39:$AG$65,2),)</f>
        <v>0</v>
      </c>
      <c r="BA39" s="4" t="s">
        <v>27</v>
      </c>
      <c r="BB39" s="4"/>
    </row>
    <row r="40" spans="2:54" ht="13.5" thickBot="1" x14ac:dyDescent="0.25">
      <c r="B40" s="4"/>
      <c r="C40" s="62" t="s">
        <v>222</v>
      </c>
      <c r="D40" s="63"/>
      <c r="E40" s="63"/>
      <c r="F40" s="65"/>
      <c r="G40" s="64"/>
      <c r="H40" s="118">
        <v>0</v>
      </c>
      <c r="I40" s="4"/>
      <c r="J40" s="15" t="s">
        <v>373</v>
      </c>
      <c r="K40" s="16"/>
      <c r="L40" s="17"/>
      <c r="M40" s="16"/>
      <c r="N40" s="16"/>
      <c r="O40" s="16"/>
      <c r="P40" s="17"/>
      <c r="Q40" s="17"/>
      <c r="R40" s="25"/>
      <c r="S40" s="162">
        <v>20</v>
      </c>
      <c r="T40" s="363">
        <f>AZ44</f>
        <v>24661</v>
      </c>
      <c r="U40" s="364"/>
      <c r="V40" s="365"/>
      <c r="W40" s="317">
        <v>21822</v>
      </c>
      <c r="X40" s="317">
        <v>21498.68</v>
      </c>
      <c r="Z40" s="47"/>
      <c r="AA40" s="47"/>
      <c r="AB40" s="4">
        <f>COUNTIF(AL7:AL36,"1")</f>
        <v>0</v>
      </c>
      <c r="AG40" s="123"/>
      <c r="AH40" s="13" t="s">
        <v>229</v>
      </c>
      <c r="AI40" s="13"/>
      <c r="AJ40" s="124"/>
      <c r="AK40" s="114" t="s">
        <v>231</v>
      </c>
      <c r="AL40" s="13"/>
      <c r="AM40" s="22"/>
      <c r="AN40" s="124"/>
      <c r="AP40" s="4"/>
      <c r="AQ40" s="4"/>
      <c r="AR40" s="4"/>
      <c r="AS40" s="4"/>
      <c r="AT40" s="4"/>
      <c r="AU40" s="4"/>
      <c r="AZ40" s="7">
        <f>IF((S39="O6ir")*AND(S40&lt;&gt;""),VLOOKUP(S40,Échelle!$BD$39:$BE$65,2),)</f>
        <v>0</v>
      </c>
      <c r="BA40" s="4" t="s">
        <v>35</v>
      </c>
      <c r="BB40" s="4"/>
    </row>
    <row r="41" spans="2:54" ht="13.5" thickTop="1" x14ac:dyDescent="0.2">
      <c r="B41" s="4"/>
      <c r="C41" s="62" t="s">
        <v>224</v>
      </c>
      <c r="D41" s="228"/>
      <c r="E41" s="228"/>
      <c r="F41" s="144"/>
      <c r="G41" s="144"/>
      <c r="H41" s="115">
        <f>AN38</f>
        <v>0</v>
      </c>
      <c r="I41" s="18"/>
      <c r="J41" s="18" t="s">
        <v>225</v>
      </c>
      <c r="K41" s="4"/>
      <c r="L41" s="98"/>
      <c r="M41" s="223">
        <f>AK39</f>
        <v>0</v>
      </c>
      <c r="N41" s="35" t="s">
        <v>226</v>
      </c>
      <c r="O41" s="75"/>
      <c r="P41" s="47"/>
      <c r="Q41" s="98"/>
      <c r="R41" s="47"/>
      <c r="S41" s="114"/>
      <c r="T41" s="116"/>
      <c r="U41" s="157">
        <f>IF(X3="x",(M41*AK42/0.041666667),0)</f>
        <v>0</v>
      </c>
      <c r="V41" s="24" t="s">
        <v>227</v>
      </c>
      <c r="W41" s="160">
        <f>IF(Z3="x",(M41*AH42/0.041666667),0)</f>
        <v>0</v>
      </c>
      <c r="X41" s="24" t="s">
        <v>227</v>
      </c>
      <c r="Z41" s="216" t="s">
        <v>228</v>
      </c>
      <c r="AA41" s="217"/>
      <c r="AB41" s="4">
        <f>COUNTIF(AL7:AL36,"2")</f>
        <v>0</v>
      </c>
      <c r="AC41" s="7">
        <v>0.625</v>
      </c>
      <c r="AD41" s="23" t="s">
        <v>374</v>
      </c>
      <c r="AG41" s="281"/>
      <c r="AH41" s="21">
        <f>X40*1.2434/1850</f>
        <v>14.449437141621623</v>
      </c>
      <c r="AI41" s="21"/>
      <c r="AJ41" s="48"/>
      <c r="AK41" s="18">
        <f>T40*AA39/1850</f>
        <v>23.671893945945946</v>
      </c>
      <c r="AL41" s="21" t="s">
        <v>230</v>
      </c>
      <c r="AM41" s="46"/>
      <c r="AN41" s="48"/>
      <c r="AP41" s="4"/>
      <c r="AQ41" s="4"/>
      <c r="AR41" s="4"/>
      <c r="AS41" s="4"/>
      <c r="AT41" s="4"/>
      <c r="AU41" s="4"/>
      <c r="AZ41" s="7">
        <f>IF((S39="O7")*AND(S40&lt;&gt;""),VLOOKUP(S40,Échelle!$AI$39:$AJ$65,2),)</f>
        <v>0</v>
      </c>
      <c r="BA41" s="4" t="s">
        <v>28</v>
      </c>
      <c r="BB41" s="2"/>
    </row>
    <row r="42" spans="2:54" x14ac:dyDescent="0.2">
      <c r="B42" s="4"/>
      <c r="C42" s="62" t="s">
        <v>232</v>
      </c>
      <c r="D42" s="63"/>
      <c r="E42" s="63"/>
      <c r="F42" s="65"/>
      <c r="G42" s="303" t="s">
        <v>233</v>
      </c>
      <c r="H42" s="41">
        <f>AB40+(AB41/2)+(AB42/2)</f>
        <v>0</v>
      </c>
      <c r="I42" s="4"/>
      <c r="J42" s="18" t="s">
        <v>234</v>
      </c>
      <c r="K42" s="4"/>
      <c r="L42" s="47"/>
      <c r="M42" s="224">
        <f>IF(Z3="x",AD39,)</f>
        <v>0</v>
      </c>
      <c r="N42" s="35" t="s">
        <v>226</v>
      </c>
      <c r="O42" s="75"/>
      <c r="P42" s="47"/>
      <c r="Q42" s="47"/>
      <c r="R42" s="47"/>
      <c r="S42" s="18"/>
      <c r="T42" s="103"/>
      <c r="U42" s="158"/>
      <c r="V42" s="26"/>
      <c r="W42" s="160">
        <f>IF(Z3="x",(M42*AH50/0.041666667),0)</f>
        <v>0</v>
      </c>
      <c r="X42" s="26" t="s">
        <v>227</v>
      </c>
      <c r="Z42" s="218" t="s">
        <v>235</v>
      </c>
      <c r="AA42" s="219"/>
      <c r="AB42" s="4">
        <f>COUNTIF(AL7:AL36,"7")</f>
        <v>0</v>
      </c>
      <c r="AF42" s="4">
        <f>M45*78</f>
        <v>0</v>
      </c>
      <c r="AG42" s="282" t="s">
        <v>155</v>
      </c>
      <c r="AH42" s="21">
        <f>AH41*0.9645*AK48/100*1.45</f>
        <v>9.8048726328815921</v>
      </c>
      <c r="AI42" s="21"/>
      <c r="AJ42" s="48"/>
      <c r="AK42" s="279">
        <f>(AK41*0.9645)*AK48/100</f>
        <v>11.077864038111635</v>
      </c>
      <c r="AL42" s="20" t="s">
        <v>236</v>
      </c>
      <c r="AM42" s="54"/>
      <c r="AN42" s="55"/>
      <c r="AP42" s="4"/>
      <c r="AQ42" s="4"/>
      <c r="AR42" s="4"/>
      <c r="AS42" s="4"/>
      <c r="AT42" s="4"/>
      <c r="AU42" s="4"/>
      <c r="AZ42" s="7">
        <f>IF((S39="O8")*AND(S40&lt;&gt;""),VLOOKUP(S40,Échelle!$AL$39:$AM$68,2),)</f>
        <v>0</v>
      </c>
      <c r="BA42" s="4" t="s">
        <v>29</v>
      </c>
      <c r="BB42" s="2"/>
    </row>
    <row r="43" spans="2:54" x14ac:dyDescent="0.2">
      <c r="C43" s="304"/>
      <c r="D43" s="66"/>
      <c r="E43" s="66"/>
      <c r="F43" s="67"/>
      <c r="G43" s="68"/>
      <c r="H43" s="73"/>
      <c r="J43" s="18" t="s">
        <v>238</v>
      </c>
      <c r="K43" s="46"/>
      <c r="L43" s="46"/>
      <c r="M43" s="224">
        <f>IF(X3="x",AF39,)</f>
        <v>0</v>
      </c>
      <c r="N43" s="35" t="s">
        <v>226</v>
      </c>
      <c r="O43" s="21"/>
      <c r="P43" s="21"/>
      <c r="Q43" s="21"/>
      <c r="R43" s="21"/>
      <c r="S43" s="18"/>
      <c r="T43" s="103"/>
      <c r="U43" s="158">
        <f>IF(X3="x",(M43*AK51/0.041666667),0)</f>
        <v>0</v>
      </c>
      <c r="V43" s="26" t="s">
        <v>227</v>
      </c>
      <c r="W43" s="160"/>
      <c r="X43" s="26"/>
      <c r="Z43" s="221">
        <f>AK47</f>
        <v>51.48</v>
      </c>
      <c r="AA43" s="220"/>
      <c r="AB43" s="4" t="s">
        <v>375</v>
      </c>
      <c r="AC43" s="4"/>
      <c r="AF43" s="4">
        <f>M46*23</f>
        <v>0</v>
      </c>
      <c r="AG43" s="19" t="s">
        <v>239</v>
      </c>
      <c r="AH43" s="197">
        <f>(W40*1.2434/1850)*0.009645*AK48</f>
        <v>6.8636749853621204</v>
      </c>
      <c r="AI43" s="197"/>
      <c r="AJ43" s="55"/>
      <c r="AK43" s="4">
        <v>1.24</v>
      </c>
      <c r="AL43" s="4" t="s">
        <v>240</v>
      </c>
      <c r="AP43" s="4"/>
      <c r="AQ43" s="4"/>
      <c r="AR43" s="4"/>
      <c r="AS43" s="4"/>
      <c r="AT43" s="4"/>
      <c r="AU43" s="4"/>
      <c r="AZ43" s="7">
        <f>IF((S39=Échelle!CB3)*AND(S40&lt;&gt;""),VLOOKUP(S40,Échelle!$CB$5:$CC$38,2),)</f>
        <v>0</v>
      </c>
      <c r="BA43" s="4" t="s">
        <v>237</v>
      </c>
      <c r="BB43" s="2"/>
    </row>
    <row r="44" spans="2:54" x14ac:dyDescent="0.2">
      <c r="C44" s="69" t="s">
        <v>241</v>
      </c>
      <c r="D44" s="70"/>
      <c r="E44" s="70"/>
      <c r="F44" s="71"/>
      <c r="G44" s="72"/>
      <c r="H44" s="74">
        <f>H39-H42+H40+H41</f>
        <v>33</v>
      </c>
      <c r="J44" s="18" t="s">
        <v>242</v>
      </c>
      <c r="K44" s="46"/>
      <c r="L44" s="46"/>
      <c r="M44" s="224">
        <f>IF(X3="x",AG39,)</f>
        <v>0</v>
      </c>
      <c r="N44" s="35" t="s">
        <v>226</v>
      </c>
      <c r="O44" s="21"/>
      <c r="P44" s="21"/>
      <c r="Q44" s="21"/>
      <c r="R44" s="21"/>
      <c r="S44" s="18"/>
      <c r="T44" s="103"/>
      <c r="U44" s="158">
        <f>IF(X3="x",(M44*AK52/0.041666667),0)</f>
        <v>0</v>
      </c>
      <c r="V44" s="26" t="s">
        <v>227</v>
      </c>
      <c r="W44" s="160"/>
      <c r="X44" s="26"/>
      <c r="Y44" s="47"/>
      <c r="Z44" s="47"/>
      <c r="AA44" s="47"/>
      <c r="AB44" s="7">
        <f>IF((M36-N36-U4)&gt;0,(M36-N36-U4-G54),)</f>
        <v>0</v>
      </c>
      <c r="AC44" s="7">
        <f>IF((MINUTE(AB44)&gt;=30),(0.041666667),)</f>
        <v>0</v>
      </c>
      <c r="AD44" s="7">
        <f>AB44+AC44</f>
        <v>0</v>
      </c>
      <c r="AE44" s="7">
        <f>AD44</f>
        <v>0</v>
      </c>
      <c r="AG44" s="4"/>
      <c r="AH44" s="4"/>
      <c r="AI44" s="4"/>
      <c r="AK44" s="4">
        <v>2.48</v>
      </c>
      <c r="AL44" s="4" t="s">
        <v>169</v>
      </c>
      <c r="AZ44" s="4">
        <f>SUM(AZ7:AZ43)</f>
        <v>24661</v>
      </c>
      <c r="BB44" s="2"/>
    </row>
    <row r="45" spans="2:54" x14ac:dyDescent="0.2">
      <c r="J45" s="18" t="s">
        <v>243</v>
      </c>
      <c r="K45" s="4"/>
      <c r="L45" s="47"/>
      <c r="M45" s="100">
        <f>COUNTIF(Q7:Q36,"1")</f>
        <v>0</v>
      </c>
      <c r="N45" s="18" t="s">
        <v>244</v>
      </c>
      <c r="O45" s="4"/>
      <c r="P45" s="47"/>
      <c r="Q45" s="47"/>
      <c r="R45" s="47">
        <f>COUNTIF(Q7:Q36,"2")</f>
        <v>0</v>
      </c>
      <c r="S45" s="18"/>
      <c r="T45" s="103"/>
      <c r="U45" s="158">
        <f>IF(X3="x",(M45*AK44*AA39+(R45*AA39*6.2)),0)</f>
        <v>0</v>
      </c>
      <c r="V45" s="26" t="s">
        <v>227</v>
      </c>
      <c r="W45" s="158">
        <f>IF(Z3="x",(M45*AK44*AA39+(R45*AA39*6.2)),0)</f>
        <v>0</v>
      </c>
      <c r="X45" s="26" t="s">
        <v>227</v>
      </c>
      <c r="Y45" s="47"/>
      <c r="Z45" s="47"/>
      <c r="AA45" s="47"/>
      <c r="AB45" s="7"/>
      <c r="AC45" s="7"/>
      <c r="AD45" s="7"/>
      <c r="AE45" s="7">
        <f>HOUR(AE44)</f>
        <v>0</v>
      </c>
      <c r="AG45" s="4"/>
      <c r="AH45" s="4"/>
      <c r="AI45" s="4"/>
      <c r="AK45" s="4">
        <v>2.48</v>
      </c>
      <c r="AL45" s="4" t="s">
        <v>170</v>
      </c>
      <c r="BB45" s="2"/>
    </row>
    <row r="46" spans="2:54" ht="12.75" customHeight="1" x14ac:dyDescent="0.2">
      <c r="C46" s="35" t="s">
        <v>306</v>
      </c>
      <c r="F46" s="4"/>
      <c r="G46" s="109" t="s">
        <v>307</v>
      </c>
      <c r="H46" s="109" t="s">
        <v>308</v>
      </c>
      <c r="J46" s="18" t="s">
        <v>249</v>
      </c>
      <c r="K46" s="21"/>
      <c r="L46" s="47"/>
      <c r="M46" s="100">
        <f>COUNTIF(R7:R36,"1")</f>
        <v>0</v>
      </c>
      <c r="N46" s="18" t="s">
        <v>250</v>
      </c>
      <c r="O46" s="21"/>
      <c r="P46" s="47"/>
      <c r="Q46" s="47"/>
      <c r="R46" s="47">
        <f>COUNTIF(R7:R36,"2")</f>
        <v>0</v>
      </c>
      <c r="S46" s="18"/>
      <c r="T46" s="103"/>
      <c r="U46" s="158">
        <f>IF(X3="x",(M46*AK45*AA39+(R46*AA39*6.2)),0)</f>
        <v>0</v>
      </c>
      <c r="V46" s="26" t="s">
        <v>227</v>
      </c>
      <c r="W46" s="158">
        <f>IF(Z3="x",(M46*AK45*AA39+(R46*AA39*6.2)),0)</f>
        <v>0</v>
      </c>
      <c r="X46" s="26" t="s">
        <v>227</v>
      </c>
      <c r="Y46" s="47"/>
      <c r="Z46" s="47"/>
      <c r="AA46" s="47"/>
      <c r="AB46" s="7">
        <f>HOUR(AD44)*0.041666667</f>
        <v>0</v>
      </c>
      <c r="AD46" s="7"/>
      <c r="AG46" s="4"/>
      <c r="AH46" s="4"/>
      <c r="AI46" s="4"/>
      <c r="AK46" s="4">
        <v>1.74</v>
      </c>
      <c r="AL46" s="4" t="s">
        <v>251</v>
      </c>
      <c r="BB46" s="2"/>
    </row>
    <row r="47" spans="2:54" x14ac:dyDescent="0.2">
      <c r="C47" s="35" t="s">
        <v>252</v>
      </c>
      <c r="G47" s="450" t="s">
        <v>710</v>
      </c>
      <c r="H47" s="450"/>
      <c r="J47" s="18" t="s">
        <v>253</v>
      </c>
      <c r="K47" s="46"/>
      <c r="L47" s="149"/>
      <c r="M47" s="100">
        <f>COUNTIF(S7:S36,"1")</f>
        <v>0</v>
      </c>
      <c r="N47" s="18" t="s">
        <v>254</v>
      </c>
      <c r="O47" s="4"/>
      <c r="P47" s="4"/>
      <c r="Q47" s="21"/>
      <c r="R47" s="26">
        <f>COUNTIF(S7:S36,"2")</f>
        <v>0</v>
      </c>
      <c r="S47" s="4"/>
      <c r="T47" s="117"/>
      <c r="U47" s="160">
        <f>IF(X3="x",(M47*AK46*AA39+(R47*AA39*3.48)),0)</f>
        <v>0</v>
      </c>
      <c r="V47" s="26" t="s">
        <v>227</v>
      </c>
      <c r="W47" s="158">
        <f>IF(Z3="x",(M47*AK46*AA39+(R47*AA39*3.48)),0)</f>
        <v>0</v>
      </c>
      <c r="X47" s="26" t="s">
        <v>227</v>
      </c>
      <c r="AB47" s="7"/>
      <c r="AD47" s="96"/>
      <c r="AG47" s="4"/>
      <c r="AH47" s="4"/>
      <c r="AI47" s="4"/>
      <c r="AK47" s="4">
        <f>VLOOKUP(AS47,Données!$F$74:$H$85,3)</f>
        <v>51.48</v>
      </c>
      <c r="AL47" s="4" t="s">
        <v>255</v>
      </c>
      <c r="AP47" s="385">
        <f>T40*Z39</f>
        <v>43793.003799999999</v>
      </c>
      <c r="AQ47" s="2">
        <f>AP47*0.075</f>
        <v>3284.475285</v>
      </c>
      <c r="AR47" s="2">
        <f>AP47*0.0355</f>
        <v>1554.6516348999999</v>
      </c>
      <c r="AS47" s="225">
        <f>AP47-AQ47-AR47</f>
        <v>38953.876880099997</v>
      </c>
      <c r="BB47" s="2"/>
    </row>
    <row r="48" spans="2:54" x14ac:dyDescent="0.2">
      <c r="I48" s="4"/>
      <c r="J48" s="18" t="s">
        <v>256</v>
      </c>
      <c r="K48" s="46"/>
      <c r="L48" s="149"/>
      <c r="M48" s="100">
        <f>COUNTIF(T7:T36,"1")</f>
        <v>0</v>
      </c>
      <c r="N48" s="18" t="s">
        <v>257</v>
      </c>
      <c r="O48" s="4"/>
      <c r="P48" s="4"/>
      <c r="Q48" s="21"/>
      <c r="R48" s="26">
        <f>COUNTIF(T7:T36,"2")</f>
        <v>0</v>
      </c>
      <c r="S48" s="4"/>
      <c r="T48" s="117"/>
      <c r="U48" s="160">
        <f>IF(X3="x",(M48*AK43*AA39+(R48*AA39*2.48)),0)</f>
        <v>0</v>
      </c>
      <c r="V48" s="26" t="s">
        <v>227</v>
      </c>
      <c r="W48" s="158">
        <f>IF(Z3="x",(M48*AK43*AA39+(R48*AA39*2.48)),0)</f>
        <v>0</v>
      </c>
      <c r="X48" s="26" t="s">
        <v>227</v>
      </c>
      <c r="AB48" s="7">
        <f>IF(MINUTE(AB44)&gt;0,FLOOR(AE44,0.041666667),AE44)</f>
        <v>0</v>
      </c>
      <c r="AC48" s="96"/>
      <c r="AD48" s="96"/>
      <c r="AF48" s="7"/>
      <c r="AG48" s="4"/>
      <c r="AH48" s="4"/>
      <c r="AI48" s="4"/>
      <c r="AK48" s="4">
        <f>100-AK47</f>
        <v>48.52</v>
      </c>
      <c r="AL48" s="4" t="s">
        <v>258</v>
      </c>
      <c r="BB48" s="2"/>
    </row>
    <row r="49" spans="3:54" x14ac:dyDescent="0.2">
      <c r="C49" s="4" t="s">
        <v>259</v>
      </c>
      <c r="F49" s="4"/>
      <c r="G49" s="4"/>
      <c r="H49" s="4"/>
      <c r="I49" s="4"/>
      <c r="J49" s="18" t="s">
        <v>260</v>
      </c>
      <c r="K49" s="4"/>
      <c r="L49" s="21"/>
      <c r="M49" s="224">
        <f>IF(AND(G47="x",O36="+",AB44&gt;=0),AB48,0)</f>
        <v>0</v>
      </c>
      <c r="N49" s="35" t="s">
        <v>226</v>
      </c>
      <c r="O49" s="75"/>
      <c r="P49" s="47"/>
      <c r="Q49" s="47"/>
      <c r="R49" s="47"/>
      <c r="S49" s="18"/>
      <c r="T49" s="103"/>
      <c r="U49" s="158">
        <f>IF(X3="x",(M49*AK42/0.041666667),0)</f>
        <v>0</v>
      </c>
      <c r="V49" s="26" t="s">
        <v>227</v>
      </c>
      <c r="W49" s="160">
        <f>IF(Z3="x",(M49*AH43/0.041666667),0)</f>
        <v>0</v>
      </c>
      <c r="X49" s="26" t="s">
        <v>227</v>
      </c>
      <c r="AC49" s="96"/>
      <c r="AF49" s="7"/>
      <c r="AG49" s="4"/>
      <c r="AH49" s="4"/>
      <c r="AI49" s="4"/>
      <c r="AL49" s="4" t="s">
        <v>376</v>
      </c>
      <c r="BB49" s="2"/>
    </row>
    <row r="50" spans="3:54" x14ac:dyDescent="0.2">
      <c r="C50" s="4" t="s">
        <v>261</v>
      </c>
      <c r="F50" s="4"/>
      <c r="G50" s="215">
        <v>0</v>
      </c>
      <c r="H50" s="4"/>
      <c r="I50" s="4"/>
      <c r="J50" s="18" t="s">
        <v>262</v>
      </c>
      <c r="K50" s="21"/>
      <c r="L50" s="21"/>
      <c r="M50" s="177">
        <f>AM37</f>
        <v>0</v>
      </c>
      <c r="N50" s="188" t="s">
        <v>263</v>
      </c>
      <c r="O50" s="153"/>
      <c r="P50" s="47"/>
      <c r="Q50" s="47"/>
      <c r="R50" s="47"/>
      <c r="S50" s="18"/>
      <c r="T50" s="153"/>
      <c r="U50" s="158">
        <f>IF(X3="x",AM38,0)</f>
        <v>0</v>
      </c>
      <c r="V50" s="26" t="s">
        <v>227</v>
      </c>
      <c r="W50" s="160">
        <f>IF(Z3="x",AM38,0)</f>
        <v>0</v>
      </c>
      <c r="X50" s="26" t="s">
        <v>227</v>
      </c>
      <c r="AB50" s="7"/>
      <c r="AC50" s="7"/>
      <c r="AD50" s="7"/>
      <c r="AE50" s="7"/>
      <c r="AF50" s="7"/>
      <c r="AG50" s="4" t="s">
        <v>161</v>
      </c>
      <c r="AH50" s="4">
        <f>AH41*0.00325*0.9645*AK48</f>
        <v>2.1976438659907016</v>
      </c>
      <c r="AI50" s="4"/>
      <c r="BB50" s="2"/>
    </row>
    <row r="51" spans="3:54" x14ac:dyDescent="0.2">
      <c r="C51" s="245" t="s">
        <v>265</v>
      </c>
      <c r="H51" s="4"/>
      <c r="I51" s="4"/>
      <c r="J51" s="18" t="s">
        <v>266</v>
      </c>
      <c r="K51" s="47"/>
      <c r="L51" s="21"/>
      <c r="M51" s="100">
        <f>SUM(AA7:AA36)</f>
        <v>0</v>
      </c>
      <c r="N51" s="188" t="s">
        <v>267</v>
      </c>
      <c r="O51" s="21"/>
      <c r="P51" s="21"/>
      <c r="Q51" s="21"/>
      <c r="R51" s="21"/>
      <c r="S51" s="18"/>
      <c r="T51" s="187"/>
      <c r="U51" s="158">
        <f>IF(X3="x",(M51*Données!$T$13),0)</f>
        <v>0</v>
      </c>
      <c r="V51" s="26" t="s">
        <v>227</v>
      </c>
      <c r="W51" s="160">
        <f>IF(Z3="x",M51*0.2,0)</f>
        <v>0</v>
      </c>
      <c r="X51" s="26" t="s">
        <v>227</v>
      </c>
      <c r="AB51" s="7"/>
      <c r="AC51" s="7"/>
      <c r="AD51" s="7"/>
      <c r="AE51" s="7"/>
      <c r="AF51" s="7"/>
      <c r="AG51" s="7"/>
      <c r="AK51" s="97">
        <f>AK42/100*20</f>
        <v>2.2155728076223271</v>
      </c>
      <c r="AL51" s="4" t="s">
        <v>264</v>
      </c>
      <c r="BB51" s="2"/>
    </row>
    <row r="52" spans="3:54" x14ac:dyDescent="0.2">
      <c r="C52" s="4"/>
      <c r="F52" s="4"/>
      <c r="G52" s="4"/>
      <c r="H52" s="4"/>
      <c r="I52" s="4"/>
      <c r="J52" s="18" t="s">
        <v>269</v>
      </c>
      <c r="K52" s="21"/>
      <c r="L52" s="21"/>
      <c r="M52" s="224">
        <f>AH54</f>
        <v>0</v>
      </c>
      <c r="N52" s="35" t="s">
        <v>226</v>
      </c>
      <c r="O52" s="21"/>
      <c r="P52" s="21"/>
      <c r="Q52" s="21"/>
      <c r="R52" s="21"/>
      <c r="S52" s="18"/>
      <c r="T52" s="153"/>
      <c r="U52" s="158">
        <f>IF(X3="x",(M52*AK54/0.041666667),0)</f>
        <v>0</v>
      </c>
      <c r="V52" s="26" t="s">
        <v>227</v>
      </c>
      <c r="W52" s="158">
        <f>IF(Z3="x",(M52*AK53/0.041666667),0)</f>
        <v>0</v>
      </c>
      <c r="X52" s="26" t="s">
        <v>227</v>
      </c>
      <c r="AK52" s="97">
        <f>AK42/100*35</f>
        <v>3.8772524133390722</v>
      </c>
      <c r="AL52" s="4" t="s">
        <v>268</v>
      </c>
      <c r="BB52" s="2"/>
    </row>
    <row r="53" spans="3:54" x14ac:dyDescent="0.2">
      <c r="C53" s="35" t="s">
        <v>270</v>
      </c>
      <c r="J53" s="18" t="s">
        <v>271</v>
      </c>
      <c r="K53" s="21"/>
      <c r="L53" s="21"/>
      <c r="M53" s="224">
        <f>AH55</f>
        <v>0</v>
      </c>
      <c r="N53" s="188" t="s">
        <v>226</v>
      </c>
      <c r="O53" s="21"/>
      <c r="P53" s="21"/>
      <c r="Q53" s="21"/>
      <c r="R53" s="21"/>
      <c r="S53" s="18"/>
      <c r="T53" s="153"/>
      <c r="U53" s="158">
        <f>IF(X3="x",(M53*AK55/0.041666667),0)</f>
        <v>0</v>
      </c>
      <c r="V53" s="26" t="s">
        <v>227</v>
      </c>
      <c r="W53" s="158">
        <f>IF(Z3="x",(M53*AK54/0.041666667),0)</f>
        <v>0</v>
      </c>
      <c r="X53" s="26" t="s">
        <v>227</v>
      </c>
      <c r="AK53" s="225"/>
      <c r="BB53" s="2"/>
    </row>
    <row r="54" spans="3:54" x14ac:dyDescent="0.2">
      <c r="C54" s="35" t="s">
        <v>261</v>
      </c>
      <c r="G54" s="198"/>
      <c r="J54" s="19" t="s">
        <v>273</v>
      </c>
      <c r="K54" s="20"/>
      <c r="L54" s="20"/>
      <c r="M54" s="318">
        <f>AU37</f>
        <v>0</v>
      </c>
      <c r="N54" s="20" t="s">
        <v>263</v>
      </c>
      <c r="O54" s="20"/>
      <c r="P54" s="20"/>
      <c r="Q54" s="20"/>
      <c r="R54" s="20"/>
      <c r="S54" s="19"/>
      <c r="T54" s="20"/>
      <c r="U54" s="159">
        <f>IF(X3="x",(M54*(2.81*AA39))/100*(100-Z43),0)</f>
        <v>0</v>
      </c>
      <c r="V54" s="27" t="s">
        <v>227</v>
      </c>
      <c r="W54" s="159">
        <f>IF(Z3="x",(M54*(2.81*AA39))/100*(100-Z43),0)</f>
        <v>0</v>
      </c>
      <c r="X54" s="27" t="s">
        <v>227</v>
      </c>
      <c r="AE54" s="285">
        <f>SUM(Y7:Y36)</f>
        <v>0</v>
      </c>
      <c r="AF54" s="313">
        <f>IF(MINUTE(AE54)&gt;=30,AE54+0.041666667,AE54)</f>
        <v>0</v>
      </c>
      <c r="AG54" s="313"/>
      <c r="AH54" s="313">
        <f>IF(MINUTE(AF54)&gt;0,FLOOR(AF54,0.041666667),AF54)</f>
        <v>0</v>
      </c>
      <c r="AI54" s="313"/>
      <c r="AJ54" s="196"/>
      <c r="AK54" s="212">
        <f>AK42/24</f>
        <v>0.46157766825465146</v>
      </c>
      <c r="AL54" s="13" t="s">
        <v>272</v>
      </c>
      <c r="AM54" s="13"/>
      <c r="AN54" s="13"/>
      <c r="AO54" s="13"/>
      <c r="AP54" s="121"/>
      <c r="BB54" s="2"/>
    </row>
    <row r="55" spans="3:54" x14ac:dyDescent="0.2">
      <c r="C55" s="245" t="s">
        <v>265</v>
      </c>
      <c r="E55" s="21"/>
      <c r="F55" s="47"/>
      <c r="G55" s="21"/>
      <c r="L55" s="104" t="s">
        <v>275</v>
      </c>
      <c r="M55" s="104"/>
      <c r="N55" s="19"/>
      <c r="O55" s="105"/>
      <c r="P55" s="99"/>
      <c r="Q55" s="99"/>
      <c r="R55" s="99"/>
      <c r="S55" s="19"/>
      <c r="T55" s="106"/>
      <c r="U55" s="159">
        <f>IF(X3="x",(SUM(U41:U54)),0)</f>
        <v>0</v>
      </c>
      <c r="V55" s="27" t="s">
        <v>227</v>
      </c>
      <c r="W55" s="159">
        <f>IF(Z3="x",(SUM(W41:W54)),0)</f>
        <v>0</v>
      </c>
      <c r="X55" s="27" t="s">
        <v>227</v>
      </c>
      <c r="AE55" s="286">
        <f>SUM(Z7:Z36)</f>
        <v>0</v>
      </c>
      <c r="AF55" s="314">
        <f>IF(MINUTE(AE55)&gt;=30,AE55+0.041666667,AE55)</f>
        <v>0</v>
      </c>
      <c r="AG55" s="314"/>
      <c r="AH55" s="314">
        <f>IF(MINUTE(AF55)&gt;0,FLOOR(AF55,0.041666667),AF55)</f>
        <v>0</v>
      </c>
      <c r="AI55" s="314"/>
      <c r="AJ55" s="197"/>
      <c r="AK55" s="213">
        <f>AK42/15</f>
        <v>0.7385242692074423</v>
      </c>
      <c r="AL55" s="20" t="s">
        <v>274</v>
      </c>
      <c r="AM55" s="20"/>
      <c r="AN55" s="20"/>
      <c r="AO55" s="20"/>
      <c r="AP55" s="119"/>
      <c r="BB55" s="2"/>
    </row>
    <row r="59" spans="3:54" x14ac:dyDescent="0.2">
      <c r="E59" s="32"/>
      <c r="F59" s="58"/>
      <c r="G59" s="32"/>
      <c r="H59" s="32"/>
      <c r="I59" s="32"/>
      <c r="J59" s="32"/>
      <c r="K59" s="32"/>
      <c r="L59" s="135"/>
      <c r="M59" s="191"/>
      <c r="N59" s="32"/>
      <c r="O59" s="30"/>
      <c r="P59" s="30"/>
      <c r="Q59" s="30"/>
      <c r="R59" s="32"/>
      <c r="S59" s="1"/>
      <c r="T59" s="1"/>
      <c r="U59" s="32"/>
      <c r="V59" s="32"/>
      <c r="W59" s="192"/>
      <c r="X59" s="30"/>
    </row>
    <row r="60" spans="3:54" x14ac:dyDescent="0.2">
      <c r="E60" s="32"/>
      <c r="F60" s="58"/>
      <c r="G60" s="32"/>
      <c r="H60" s="32"/>
      <c r="I60" s="32"/>
      <c r="J60" s="32"/>
      <c r="K60" s="32"/>
      <c r="L60" s="135"/>
      <c r="M60" s="191"/>
      <c r="N60" s="32"/>
      <c r="O60" s="30"/>
      <c r="P60" s="30"/>
      <c r="Q60" s="30"/>
      <c r="R60" s="32"/>
      <c r="S60" s="1"/>
      <c r="T60" s="1"/>
      <c r="U60" s="32"/>
      <c r="V60" s="32"/>
      <c r="W60" s="193"/>
      <c r="X60" s="32"/>
    </row>
  </sheetData>
  <sheetProtection algorithmName="SHA-512" hashValue="S6JGBqG1VAHWh12dE+F0l2MPqLEGps4H+FOZaYOqfuifPgn/+eQpH69nazDnYPIAStxbnqhZlcD71MXRLsPOBQ==" saltValue="M/ZVwg9skzUL4s9ajP9o2w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2" orientation="landscape" horizontalDpi="300" verticalDpi="300" r:id="rId1"/>
  <headerFooter alignWithMargins="0"/>
  <ignoredErrors>
    <ignoredError sqref="Q7:T36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BB63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8" sqref="F8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42578125" style="28" customWidth="1"/>
    <col min="6" max="11" width="5.28515625" style="2" customWidth="1"/>
    <col min="12" max="12" width="4.85546875" style="5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6" width="5.7109375" style="5" customWidth="1"/>
    <col min="27" max="27" width="5.85546875" style="5" bestFit="1" customWidth="1"/>
    <col min="28" max="28" width="14" style="2" hidden="1" customWidth="1"/>
    <col min="29" max="29" width="4.8554687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4" width="12" style="2" hidden="1" customWidth="1"/>
    <col min="45" max="46" width="10.42578125" style="2" hidden="1" customWidth="1"/>
    <col min="47" max="47" width="4.28515625" style="2" hidden="1" customWidth="1"/>
    <col min="48" max="48" width="7.7109375" style="39" hidden="1" customWidth="1"/>
    <col min="49" max="49" width="6.42578125" style="39" hidden="1" customWidth="1"/>
    <col min="50" max="50" width="5.7109375" style="2" hidden="1" customWidth="1"/>
    <col min="51" max="51" width="3" style="2" hidden="1" customWidth="1"/>
    <col min="52" max="52" width="5.28515625" style="4" hidden="1" customWidth="1"/>
    <col min="53" max="53" width="6.42578125" style="4" hidden="1" customWidth="1"/>
    <col min="54" max="54" width="51.7109375" customWidth="1"/>
    <col min="55" max="55" width="0" hidden="1" customWidth="1"/>
  </cols>
  <sheetData>
    <row r="1" spans="2:54" x14ac:dyDescent="0.2">
      <c r="C1" s="307"/>
      <c r="H1" s="248"/>
      <c r="X1" s="178"/>
      <c r="Y1" s="179"/>
      <c r="Z1" s="179" t="s">
        <v>110</v>
      </c>
      <c r="AA1" s="180"/>
      <c r="AD1" s="96">
        <v>0.29166666666666669</v>
      </c>
      <c r="AQ1" s="39" t="s">
        <v>111</v>
      </c>
      <c r="AR1" s="39" t="s">
        <v>112</v>
      </c>
      <c r="AS1" s="39" t="s">
        <v>113</v>
      </c>
      <c r="AT1" s="39" t="s">
        <v>114</v>
      </c>
      <c r="AU1" s="39"/>
      <c r="BB1" s="2"/>
    </row>
    <row r="2" spans="2:54" x14ac:dyDescent="0.2">
      <c r="C2" s="246"/>
      <c r="M2" s="136"/>
      <c r="N2" s="137"/>
      <c r="O2" s="137"/>
      <c r="P2" s="137"/>
      <c r="Q2" s="137"/>
      <c r="R2" s="137"/>
      <c r="S2" s="137"/>
      <c r="T2" s="137"/>
      <c r="U2" s="138"/>
      <c r="V2" s="139"/>
      <c r="X2" s="181" t="s">
        <v>115</v>
      </c>
      <c r="Y2" s="182"/>
      <c r="Z2" s="182" t="s">
        <v>116</v>
      </c>
      <c r="AA2" s="183"/>
      <c r="AC2" s="112"/>
      <c r="AD2" s="96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0"/>
      <c r="M3" s="140"/>
      <c r="N3" s="141"/>
      <c r="O3" s="141"/>
      <c r="P3" s="141"/>
      <c r="Q3" s="141"/>
      <c r="R3" s="141"/>
      <c r="S3" s="141"/>
      <c r="T3" s="141"/>
      <c r="U3" s="142"/>
      <c r="V3" s="143"/>
      <c r="X3" s="253" t="s">
        <v>117</v>
      </c>
      <c r="Y3" s="184"/>
      <c r="Z3" s="253"/>
      <c r="AA3" s="185"/>
      <c r="AD3" s="96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B4" s="277" t="s">
        <v>694</v>
      </c>
      <c r="C4" s="465" t="str">
        <f>Données!F6</f>
        <v>Memento 2022</v>
      </c>
      <c r="G4" s="4" t="s">
        <v>118</v>
      </c>
      <c r="I4" s="4"/>
      <c r="J4" s="4"/>
      <c r="L4" s="2"/>
      <c r="M4" s="386">
        <f>Avr!$G$54</f>
        <v>0</v>
      </c>
      <c r="N4" s="4"/>
      <c r="O4" s="4"/>
      <c r="P4" s="4" t="s">
        <v>119</v>
      </c>
      <c r="Q4" s="4"/>
      <c r="R4" s="4"/>
      <c r="S4" s="4"/>
      <c r="T4" s="4"/>
      <c r="U4" s="199">
        <f>IF(Avr!$H$47="x",Avr!$U$4,Avr!$G$50)</f>
        <v>0</v>
      </c>
      <c r="V4" s="39"/>
      <c r="W4" s="39"/>
      <c r="X4" s="39"/>
      <c r="Y4" s="39"/>
      <c r="Z4" s="39"/>
      <c r="AA4" s="39"/>
      <c r="AV4" s="84"/>
      <c r="AW4" s="84" t="s">
        <v>120</v>
      </c>
      <c r="AX4" s="113">
        <v>0</v>
      </c>
      <c r="AY4" s="113"/>
      <c r="BB4" s="2"/>
    </row>
    <row r="5" spans="2:54" x14ac:dyDescent="0.2">
      <c r="B5" s="81"/>
      <c r="C5" s="82"/>
      <c r="D5" s="83" t="s">
        <v>122</v>
      </c>
      <c r="E5" s="83" t="s">
        <v>123</v>
      </c>
      <c r="F5" s="90" t="s">
        <v>124</v>
      </c>
      <c r="G5" s="91"/>
      <c r="H5" s="90" t="s">
        <v>124</v>
      </c>
      <c r="I5" s="91"/>
      <c r="J5" s="90" t="s">
        <v>124</v>
      </c>
      <c r="K5" s="91"/>
      <c r="L5" s="90" t="s">
        <v>125</v>
      </c>
      <c r="M5" s="91"/>
      <c r="N5" s="84" t="s">
        <v>126</v>
      </c>
      <c r="O5" s="93" t="s">
        <v>127</v>
      </c>
      <c r="P5" s="92"/>
      <c r="Q5" s="90" t="s">
        <v>128</v>
      </c>
      <c r="R5" s="134"/>
      <c r="S5" s="134"/>
      <c r="T5" s="91"/>
      <c r="U5" s="84" t="s">
        <v>129</v>
      </c>
      <c r="V5" s="84" t="s">
        <v>130</v>
      </c>
      <c r="W5" s="84" t="s">
        <v>129</v>
      </c>
      <c r="X5" s="84" t="s">
        <v>129</v>
      </c>
      <c r="Y5" s="300"/>
      <c r="Z5" s="84" t="s">
        <v>131</v>
      </c>
      <c r="AA5" s="301" t="s">
        <v>132</v>
      </c>
      <c r="AB5" s="8" t="s">
        <v>133</v>
      </c>
      <c r="AC5" s="8" t="s">
        <v>134</v>
      </c>
      <c r="AD5" s="8" t="s">
        <v>135</v>
      </c>
      <c r="AE5" s="8" t="s">
        <v>136</v>
      </c>
      <c r="AF5" s="8" t="s">
        <v>137</v>
      </c>
      <c r="AG5" s="8" t="s">
        <v>137</v>
      </c>
      <c r="AH5" s="8" t="s">
        <v>138</v>
      </c>
      <c r="AI5" s="8" t="s">
        <v>139</v>
      </c>
      <c r="AO5" s="4"/>
      <c r="AT5" s="4" t="s">
        <v>140</v>
      </c>
      <c r="AU5" s="4"/>
      <c r="AV5" s="231" t="s">
        <v>141</v>
      </c>
      <c r="AW5" s="231" t="s">
        <v>142</v>
      </c>
      <c r="AX5" s="84" t="s">
        <v>126</v>
      </c>
      <c r="AY5" s="250"/>
      <c r="BB5" s="4"/>
    </row>
    <row r="6" spans="2:54" x14ac:dyDescent="0.2">
      <c r="B6" s="85" t="s">
        <v>143</v>
      </c>
      <c r="C6" s="86" t="s">
        <v>144</v>
      </c>
      <c r="D6" s="87" t="s">
        <v>44</v>
      </c>
      <c r="E6" s="87" t="s">
        <v>145</v>
      </c>
      <c r="F6" s="86" t="s">
        <v>44</v>
      </c>
      <c r="G6" s="86" t="s">
        <v>45</v>
      </c>
      <c r="H6" s="86" t="s">
        <v>44</v>
      </c>
      <c r="I6" s="86" t="s">
        <v>45</v>
      </c>
      <c r="J6" s="86" t="s">
        <v>44</v>
      </c>
      <c r="K6" s="86" t="s">
        <v>45</v>
      </c>
      <c r="L6" s="86" t="s">
        <v>146</v>
      </c>
      <c r="M6" s="86" t="s">
        <v>147</v>
      </c>
      <c r="N6" s="86" t="s">
        <v>148</v>
      </c>
      <c r="O6" s="94" t="s">
        <v>149</v>
      </c>
      <c r="P6" s="95"/>
      <c r="Q6" s="357" t="s">
        <v>150</v>
      </c>
      <c r="R6" s="357" t="s">
        <v>151</v>
      </c>
      <c r="S6" s="357" t="s">
        <v>152</v>
      </c>
      <c r="T6" s="357" t="s">
        <v>153</v>
      </c>
      <c r="U6" s="176" t="s">
        <v>154</v>
      </c>
      <c r="V6" s="86" t="s">
        <v>155</v>
      </c>
      <c r="W6" s="86" t="s">
        <v>156</v>
      </c>
      <c r="X6" s="195" t="s">
        <v>157</v>
      </c>
      <c r="Y6" s="88" t="s">
        <v>131</v>
      </c>
      <c r="Z6" s="86" t="s">
        <v>158</v>
      </c>
      <c r="AA6" s="302" t="s">
        <v>159</v>
      </c>
      <c r="AB6" s="9" t="s">
        <v>160</v>
      </c>
      <c r="AC6" s="9" t="s">
        <v>160</v>
      </c>
      <c r="AD6" s="9" t="s">
        <v>137</v>
      </c>
      <c r="AE6" s="9" t="s">
        <v>161</v>
      </c>
      <c r="AF6" s="9" t="s">
        <v>156</v>
      </c>
      <c r="AG6" s="278" t="s">
        <v>157</v>
      </c>
      <c r="AH6" s="8" t="s">
        <v>137</v>
      </c>
      <c r="AI6" s="8" t="s">
        <v>162</v>
      </c>
      <c r="AJ6" s="56" t="s">
        <v>163</v>
      </c>
      <c r="AK6" s="11" t="s">
        <v>164</v>
      </c>
      <c r="AL6" s="101" t="s">
        <v>165</v>
      </c>
      <c r="AM6" s="10" t="s">
        <v>166</v>
      </c>
      <c r="AN6" s="10" t="s">
        <v>167</v>
      </c>
      <c r="AO6" s="10"/>
      <c r="AP6" s="11" t="s">
        <v>168</v>
      </c>
      <c r="AQ6" s="11" t="s">
        <v>169</v>
      </c>
      <c r="AR6" s="11" t="s">
        <v>170</v>
      </c>
      <c r="AS6" s="11" t="s">
        <v>171</v>
      </c>
      <c r="AT6" s="10" t="s">
        <v>166</v>
      </c>
      <c r="AU6" s="10" t="s">
        <v>172</v>
      </c>
      <c r="AV6" s="232" t="s">
        <v>173</v>
      </c>
      <c r="AW6" s="232" t="s">
        <v>174</v>
      </c>
      <c r="AX6" s="86" t="s">
        <v>148</v>
      </c>
      <c r="AY6" s="251"/>
      <c r="AZ6" s="11"/>
      <c r="BA6" s="11"/>
      <c r="BB6" s="11" t="s">
        <v>175</v>
      </c>
    </row>
    <row r="7" spans="2:54" x14ac:dyDescent="0.2">
      <c r="B7" s="403" t="s">
        <v>186</v>
      </c>
      <c r="C7" s="412" t="s">
        <v>377</v>
      </c>
      <c r="D7" s="411"/>
      <c r="E7" s="411"/>
      <c r="F7" s="401"/>
      <c r="G7" s="401"/>
      <c r="H7" s="401"/>
      <c r="I7" s="401"/>
      <c r="J7" s="401"/>
      <c r="K7" s="401"/>
      <c r="L7" s="402">
        <f>(G7-F7)+(I7-H7)+(K7-J7)</f>
        <v>0</v>
      </c>
      <c r="M7" s="402">
        <f>IF(Avr!$H$47="x",(L7+Avr!$M$36)+M4,L7+M4)</f>
        <v>0</v>
      </c>
      <c r="N7" s="407">
        <f>IF(Avr!$H$47="x",AV7+Avr!$N$36,AV7)</f>
        <v>0</v>
      </c>
      <c r="O7" s="408" t="str">
        <f>IF((M7-N7-U$4)&lt;0,"-","+")</f>
        <v>+</v>
      </c>
      <c r="P7" s="413">
        <f>ABS(M7-N7-U4)</f>
        <v>0</v>
      </c>
      <c r="Q7" s="466">
        <f>AQ7</f>
        <v>0</v>
      </c>
      <c r="R7" s="466">
        <f>AR7</f>
        <v>0</v>
      </c>
      <c r="S7" s="466">
        <f>AS7</f>
        <v>0</v>
      </c>
      <c r="T7" s="466">
        <f>AP7</f>
        <v>0</v>
      </c>
      <c r="U7" s="402">
        <f>IF($Z$3="x",AD7,)</f>
        <v>0</v>
      </c>
      <c r="V7" s="402">
        <f>L7</f>
        <v>0</v>
      </c>
      <c r="W7" s="402">
        <f>IF($X$3="x",AF7,)</f>
        <v>0</v>
      </c>
      <c r="X7" s="402">
        <f>IF($X$3="x",AG7,)</f>
        <v>0</v>
      </c>
      <c r="Y7" s="401"/>
      <c r="Z7" s="401"/>
      <c r="AA7" s="411"/>
      <c r="AB7" s="420">
        <f>IF((G7&gt;$AD$3)*AND(F7&lt;=$AD$3),G7-$AD$3,)+IF(F7&gt;$AD$3,G7-F7,)+IF((I7&gt;$AD$3)*AND(H7&lt;=$AD$3),I7-$AD$3,)+IF((H7&gt;$AD$3),I7-H7,)+IF((K7&gt;$AD$3)*AND(J7&lt;=$AD$3),K7-$AD$3,)+IF((J7&gt;$AD$3),K7-J7,)</f>
        <v>0</v>
      </c>
      <c r="AC7" s="420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20">
        <f>AB7+AC7</f>
        <v>0</v>
      </c>
      <c r="AE7" s="420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21">
        <f>AB7-AE7</f>
        <v>0</v>
      </c>
      <c r="AG7" s="420">
        <f>AI7+AE7</f>
        <v>0</v>
      </c>
      <c r="AH7" s="421">
        <f>AD7</f>
        <v>0</v>
      </c>
      <c r="AI7" s="420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22">
        <f>IF((D7&lt;&gt;""),VLOOKUP(D7,Données!$E$36:$H$59,4,FALSE),)</f>
        <v>0</v>
      </c>
      <c r="AK7" s="422">
        <f>IF(V7&gt;0,L7,0)</f>
        <v>0</v>
      </c>
      <c r="AL7" s="423">
        <f>IF(L7&gt;0,D7,0)</f>
        <v>0</v>
      </c>
      <c r="AM7" s="424">
        <f>IF((E7="X")*OR(E7="x"),1,0)</f>
        <v>0</v>
      </c>
      <c r="AN7" s="425">
        <f>IF(D7="F",1,)+IF((D7="JP")*AND(((G7-F7)+(I7-H7)+(K7-J7))&gt;0),1,0)</f>
        <v>0</v>
      </c>
      <c r="AO7" s="422">
        <f>IF((D7="JP")*AND(((G7-F7)+(I7-H7)+(K7-J7))=0),"07:36",0)</f>
        <v>0</v>
      </c>
      <c r="AP7" s="426">
        <f>IF((F7&lt;=$AQ$2)*AND(G7&gt;=$AQ$3),1,)+IF((H7&lt;=$AQ$2)*AND(I7&gt;=$AQ$3),1,)+IF((J7&lt;=$AQ$2)*AND(K7&gt;=$AQ$3),1,)</f>
        <v>0</v>
      </c>
      <c r="AQ7" s="426">
        <f>IF((F7&lt;=$AR$2)*AND(G7&gt;=$AR$3),1,)+IF((H7&lt;=$AR$2)*AND(I7&gt;=$AR$3),1,)+IF((J7&lt;=$AR$2)*AND(K7&gt;=$AR$3),1,)</f>
        <v>0</v>
      </c>
      <c r="AR7" s="426">
        <f>IF((F7&lt;=$AS$2)*AND(G7&gt;=$AS$3),1,)+IF((H7&lt;=$AS$2)*AND(I7&gt;=$AS$3),1,)+IF((J7&lt;=$AS$2)*AND(K7&gt;=$AS$3),1,)</f>
        <v>0</v>
      </c>
      <c r="AS7" s="426">
        <f>IF((F7=$AT$2)*AND(G7&gt;=$AT$3),1,)+IF((H7=$AT$2)*AND(I7&gt;=$AT$3),1,)+IF((J7=$AT$2)*AND(K7&gt;=$AT$3),1,)</f>
        <v>0</v>
      </c>
      <c r="AT7" s="424">
        <f>IF((E7="me")*OR(E7="ME"),1,0)</f>
        <v>0</v>
      </c>
      <c r="AU7" s="424">
        <f>IF((E7="M")*OR(E7="m"),1,0)</f>
        <v>0</v>
      </c>
      <c r="AV7" s="402">
        <f>IF(Données!$H$8="x",AW7,AX7)</f>
        <v>0</v>
      </c>
      <c r="AW7" s="402">
        <f t="shared" ref="AW7" si="0">AX7/2</f>
        <v>0</v>
      </c>
      <c r="AX7" s="402">
        <f>AX4</f>
        <v>0</v>
      </c>
      <c r="AY7" s="403" t="str">
        <f>B7</f>
        <v>Di</v>
      </c>
      <c r="AZ7" s="423">
        <f>IF((S40="HAU1")*AND(S41&lt;&gt;""),VLOOKUP(S41,Échelle!$Q$5:$R$31,2),)</f>
        <v>0</v>
      </c>
      <c r="BA7" s="424" t="s">
        <v>0</v>
      </c>
      <c r="BB7" s="148"/>
    </row>
    <row r="8" spans="2:54" x14ac:dyDescent="0.2">
      <c r="B8" s="467" t="s">
        <v>188</v>
      </c>
      <c r="C8" s="468" t="s">
        <v>378</v>
      </c>
      <c r="D8" s="469"/>
      <c r="E8" s="469"/>
      <c r="F8" s="470"/>
      <c r="G8" s="470"/>
      <c r="H8" s="470"/>
      <c r="I8" s="470"/>
      <c r="J8" s="470"/>
      <c r="K8" s="470"/>
      <c r="L8" s="471">
        <f t="shared" ref="L8:L33" si="1">(G8-F8)+(I8-H8)+(K8-J8)+AJ8+AO8</f>
        <v>0</v>
      </c>
      <c r="M8" s="471">
        <f>IF(H1="NIET-GEREGISTREERDE VERSIE","NUL",(M7+L8))</f>
        <v>0</v>
      </c>
      <c r="N8" s="488">
        <f>IF(Avr!$H$47="x",AV8+Avr!$N$36,AV8)</f>
        <v>0.31666666666666665</v>
      </c>
      <c r="O8" s="483" t="str">
        <f t="shared" ref="O8:O37" si="2">IF((M8-N8-U$4)&lt;0,"-","+")</f>
        <v>-</v>
      </c>
      <c r="P8" s="473">
        <f>ABS(M8-N8-U4)</f>
        <v>0.31666666666666665</v>
      </c>
      <c r="Q8" s="474">
        <f t="shared" ref="Q8:Q37" si="3">AQ8</f>
        <v>0</v>
      </c>
      <c r="R8" s="474">
        <f t="shared" ref="R8:R37" si="4">AR8</f>
        <v>0</v>
      </c>
      <c r="S8" s="474">
        <f t="shared" ref="S8:S37" si="5">AS8</f>
        <v>0</v>
      </c>
      <c r="T8" s="474">
        <f t="shared" ref="T8:T37" si="6">AP8</f>
        <v>0</v>
      </c>
      <c r="U8" s="471">
        <f t="shared" ref="U8:U37" si="7">IF($Z$3="x",AD8,)</f>
        <v>0</v>
      </c>
      <c r="V8" s="471">
        <f t="shared" ref="V8:V12" si="8">IF(D8="F",L8,0)</f>
        <v>0</v>
      </c>
      <c r="W8" s="471">
        <f t="shared" ref="W8:W37" si="9">IF($X$3="x",AF8,)</f>
        <v>0</v>
      </c>
      <c r="X8" s="471">
        <f t="shared" ref="X8:X37" si="10">IF($X$3="x",AG8,)</f>
        <v>0</v>
      </c>
      <c r="Y8" s="470"/>
      <c r="Z8" s="470"/>
      <c r="AA8" s="470"/>
      <c r="AB8" s="475">
        <f>IF((G8&gt;$AD$3)*AND(F8&lt;=$AD$3),G8-$AD$3,)+IF(F8&gt;$AD$3,G8-F8,)+IF((I8&gt;$AD$3)*AND(H8&lt;=$AD$3),I8-$AD$3,)+IF((H8&gt;$AD$3),I8-H8,)+IF((K8&gt;$AD$3)*AND(J8&lt;=$AD$3),K8-$AD$3,)+IF((J8&gt;$AD$3),K8-J8,)</f>
        <v>0</v>
      </c>
      <c r="AC8" s="475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75">
        <f>AB8+AC8</f>
        <v>0</v>
      </c>
      <c r="AE8" s="475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76">
        <f>AB8-AE8</f>
        <v>0</v>
      </c>
      <c r="AG8" s="475">
        <f>AI8+AE8</f>
        <v>0</v>
      </c>
      <c r="AH8" s="476">
        <f>AD8</f>
        <v>0</v>
      </c>
      <c r="AI8" s="475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77">
        <f>IF((D8&lt;&gt;""),VLOOKUP(D8,Données!$E$36:$H$59,4,FALSE),)</f>
        <v>0</v>
      </c>
      <c r="AK8" s="477">
        <f>IF(V8&gt;0,L8,0)</f>
        <v>0</v>
      </c>
      <c r="AL8" s="478">
        <f>IF(L8&gt;0,D8,0)</f>
        <v>0</v>
      </c>
      <c r="AM8" s="479">
        <f>IF((E8="X")*OR(E8="x"),1,0)</f>
        <v>0</v>
      </c>
      <c r="AN8" s="480">
        <f t="shared" ref="AN8:AN37" si="11">IF(D8="F",1,)+IF((D8="JP")*AND(((G8-F8)+(I8-H8)+(K8-J8))&gt;0),1,0)</f>
        <v>0</v>
      </c>
      <c r="AO8" s="477">
        <f t="shared" ref="AO8:AO37" si="12">IF((D8="JP")*AND(((G8-F8)+(I8-H8)+(K8-J8))=0),"07:36",0)</f>
        <v>0</v>
      </c>
      <c r="AP8" s="481">
        <f>IF((F8&lt;=$AQ$2)*AND(G8&gt;=$AQ$3),1,)+IF((H8&lt;=$AQ$2)*AND(I8&gt;=$AQ$3),1,)+IF((J8&lt;=$AQ$2)*AND(K8&gt;=$AQ$3),1,)</f>
        <v>0</v>
      </c>
      <c r="AQ8" s="481">
        <f>IF((F8&lt;=$AR$2)*AND(G8&gt;=$AR$3),1,)+IF((H8&lt;=$AR$2)*AND(I8&gt;=$AR$3),1,)+IF((J8&lt;=$AR$2)*AND(K8&gt;=$AR$3),1,)</f>
        <v>0</v>
      </c>
      <c r="AR8" s="481">
        <f>IF((F8&lt;=$AS$2)*AND(G8&gt;=$AS$3),1,)+IF((H8&lt;=$AS$2)*AND(I8&gt;=$AS$3),1,)+IF((J8&lt;=$AS$2)*AND(K8&gt;=$AS$3),1,)</f>
        <v>0</v>
      </c>
      <c r="AS8" s="481">
        <f>IF((F8=$AT$2)*AND(G8&gt;=$AT$3),1,)+IF((H8=$AT$2)*AND(I8&gt;=$AT$3),1,)+IF((J8=$AT$2)*AND(K8&gt;=$AT$3),1,)</f>
        <v>0</v>
      </c>
      <c r="AT8" s="479">
        <f t="shared" ref="AT8:AT37" si="13">IF((E8="me")*OR(E8="ME"),1,0)</f>
        <v>0</v>
      </c>
      <c r="AU8" s="479">
        <f t="shared" ref="AU8:AU37" si="14">IF((E8="M")*OR(E8="m"),1,0)</f>
        <v>0</v>
      </c>
      <c r="AV8" s="471">
        <f>IF(Données!$H$8="x",AW8,AX8)</f>
        <v>0.31666666666666665</v>
      </c>
      <c r="AW8" s="471">
        <f t="shared" ref="AW8:AW37" si="15">AX8/2</f>
        <v>0.15833333333333333</v>
      </c>
      <c r="AX8" s="471">
        <f t="shared" ref="AX8:AX12" si="16">IF(D8="L",AX7,(AX7+"07:36"))</f>
        <v>0.31666666666666665</v>
      </c>
      <c r="AY8" s="467" t="str">
        <f t="shared" ref="AY8:AY37" si="17">B8</f>
        <v>Lu</v>
      </c>
      <c r="AZ8" s="7">
        <f>IF((S40="HAU2")*AND(S41&lt;&gt;""),VLOOKUP(S41,Échelle!$T$5:$U$31,2),)</f>
        <v>0</v>
      </c>
      <c r="BA8" s="4" t="s">
        <v>1</v>
      </c>
      <c r="BB8" s="148"/>
    </row>
    <row r="9" spans="2:54" x14ac:dyDescent="0.2">
      <c r="B9" s="467" t="s">
        <v>176</v>
      </c>
      <c r="C9" s="468" t="s">
        <v>379</v>
      </c>
      <c r="D9" s="469"/>
      <c r="E9" s="469"/>
      <c r="F9" s="470"/>
      <c r="G9" s="470"/>
      <c r="H9" s="470"/>
      <c r="I9" s="470"/>
      <c r="J9" s="470"/>
      <c r="K9" s="470"/>
      <c r="L9" s="471">
        <f t="shared" si="1"/>
        <v>0</v>
      </c>
      <c r="M9" s="471">
        <f t="shared" ref="M9:M37" si="18">M8+L9</f>
        <v>0</v>
      </c>
      <c r="N9" s="488">
        <f>IF(Avr!$H$47="x",AV9+Avr!$N$36,AV9)</f>
        <v>0.6333333333333333</v>
      </c>
      <c r="O9" s="483" t="str">
        <f t="shared" si="2"/>
        <v>-</v>
      </c>
      <c r="P9" s="473">
        <f>ABS(M9-N9-U4)</f>
        <v>0.6333333333333333</v>
      </c>
      <c r="Q9" s="474">
        <f t="shared" si="3"/>
        <v>0</v>
      </c>
      <c r="R9" s="474">
        <f t="shared" si="4"/>
        <v>0</v>
      </c>
      <c r="S9" s="474">
        <f t="shared" si="5"/>
        <v>0</v>
      </c>
      <c r="T9" s="474">
        <f t="shared" si="6"/>
        <v>0</v>
      </c>
      <c r="U9" s="471">
        <f t="shared" si="7"/>
        <v>0</v>
      </c>
      <c r="V9" s="471">
        <f t="shared" si="8"/>
        <v>0</v>
      </c>
      <c r="W9" s="471">
        <f t="shared" si="9"/>
        <v>0</v>
      </c>
      <c r="X9" s="471">
        <f t="shared" si="10"/>
        <v>0</v>
      </c>
      <c r="Y9" s="470"/>
      <c r="Z9" s="470"/>
      <c r="AA9" s="469"/>
      <c r="AB9" s="475">
        <f t="shared" ref="AB9:AB37" si="19">IF((G9&gt;$AD$3)*AND(F9&lt;=$AD$3),G9-$AD$3,)+IF(F9&gt;$AD$3,G9-F9,)+IF((I9&gt;$AD$3)*AND(H9&lt;=$AD$3),I9-$AD$3,)+IF((H9&gt;$AD$3),I9-H9,)+IF((K9&gt;$AD$3)*AND(J9&lt;=$AD$3),K9-$AD$3,)+IF((J9&gt;$AD$3),K9-J9,)</f>
        <v>0</v>
      </c>
      <c r="AC9" s="475">
        <f t="shared" ref="AC9:AC37" si="20">IF((G9&gt;=$AD$1)*AND(F9&lt;$AD$1),($AD$1)-F9,)+IF((G9&lt;$AD$1),G9-F9,)+IF((I9&gt;=$AD$1)*AND(H9&lt;$AD$1),($AD$1)-H9,)+IF((I9&lt;$AD$1),I9-H9,)+IF((K9&gt;=$AD$1)*AND(J9&lt;$AD$1),($AD$1)-J9,)+IF((K9&lt;$AD$1),K9-J9,)</f>
        <v>0</v>
      </c>
      <c r="AD9" s="475">
        <f t="shared" ref="AD9:AD37" si="21">AB9+AC9</f>
        <v>0</v>
      </c>
      <c r="AE9" s="475">
        <f t="shared" ref="AE9:AE37" si="22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76">
        <f t="shared" ref="AF9:AF37" si="23">AB9-AE9</f>
        <v>0</v>
      </c>
      <c r="AG9" s="475">
        <f t="shared" ref="AG9:AG37" si="24">AI9+AE9</f>
        <v>0</v>
      </c>
      <c r="AH9" s="476">
        <f t="shared" ref="AH9:AH37" si="25">AD9</f>
        <v>0</v>
      </c>
      <c r="AI9" s="475">
        <f t="shared" ref="AI9:AI37" si="26">IF((G9&gt;=$AD$2)*AND(F9&lt;$AD$2),($AD$2)-F9,)+IF((G9&lt;$AD$2),G9-F9,)+IF((I9&gt;=$AD$2)*AND(H9&lt;$AD$2),($AD$2)-H9,)+IF((I9&lt;$AD$2),I9-H9,)+IF((K9&gt;=$AD$2)*AND(J9&lt;$AD$2),($AD$2)-J9,)+IF((K9&lt;$AD$2),K9-J9,)</f>
        <v>0</v>
      </c>
      <c r="AJ9" s="477">
        <f>IF((D9&lt;&gt;""),VLOOKUP(D9,Données!$E$36:$H$59,4,FALSE),)</f>
        <v>0</v>
      </c>
      <c r="AK9" s="477">
        <f>IF(V9&gt;0,L9,0)</f>
        <v>0</v>
      </c>
      <c r="AL9" s="478">
        <f>IF(L9&gt;0,D9,0)</f>
        <v>0</v>
      </c>
      <c r="AM9" s="479">
        <f>IF((E9="X")*OR(E9="x"),1,0)</f>
        <v>0</v>
      </c>
      <c r="AN9" s="480">
        <f t="shared" si="11"/>
        <v>0</v>
      </c>
      <c r="AO9" s="477">
        <f t="shared" si="12"/>
        <v>0</v>
      </c>
      <c r="AP9" s="481">
        <f>IF((F9&lt;=$AQ$2)*AND(G9&gt;=$AQ$3),1,)+IF((H9&lt;=$AQ$2)*AND(I9&gt;=$AQ$3),1,)+IF((J9&lt;=$AQ$2)*AND(K9&gt;=$AQ$3),1,)</f>
        <v>0</v>
      </c>
      <c r="AQ9" s="481">
        <f>IF((F9&lt;=$AR$2)*AND(G9&gt;=$AR$3),1,)+IF((H9&lt;=$AR$2)*AND(I9&gt;=$AR$3),1,)+IF((J9&lt;=$AR$2)*AND(K9&gt;=$AR$3),1,)</f>
        <v>0</v>
      </c>
      <c r="AR9" s="481">
        <f>IF((F9&lt;=$AS$2)*AND(G9&gt;=$AS$3),1,)+IF((H9&lt;=$AS$2)*AND(I9&gt;=$AS$3),1,)+IF((J9&lt;=$AS$2)*AND(K9&gt;=$AS$3),1,)</f>
        <v>0</v>
      </c>
      <c r="AS9" s="481">
        <f>IF((F9=$AT$2)*AND(G9&gt;=$AT$3),1,)+IF((H9=$AT$2)*AND(I9&gt;=$AT$3),1,)+IF((J9=$AT$2)*AND(K9&gt;=$AT$3),1,)</f>
        <v>0</v>
      </c>
      <c r="AT9" s="479">
        <f t="shared" si="13"/>
        <v>0</v>
      </c>
      <c r="AU9" s="479">
        <f t="shared" si="14"/>
        <v>0</v>
      </c>
      <c r="AV9" s="471">
        <f>IF(Données!$H$8="x",AW9,AX9)</f>
        <v>0.6333333333333333</v>
      </c>
      <c r="AW9" s="471">
        <f t="shared" si="15"/>
        <v>0.31666666666666665</v>
      </c>
      <c r="AX9" s="471">
        <f t="shared" si="16"/>
        <v>0.6333333333333333</v>
      </c>
      <c r="AY9" s="467" t="str">
        <f t="shared" si="17"/>
        <v>Ma</v>
      </c>
      <c r="AZ9" s="7">
        <f>IF((S40="HAU3")*AND(S41&lt;&gt;""),VLOOKUP(S41,Échelle!$W$5:$X$31,2),)</f>
        <v>0</v>
      </c>
      <c r="BA9" s="4" t="s">
        <v>2</v>
      </c>
      <c r="BB9" s="148"/>
    </row>
    <row r="10" spans="2:54" x14ac:dyDescent="0.2">
      <c r="B10" s="491" t="s">
        <v>178</v>
      </c>
      <c r="C10" s="468" t="s">
        <v>380</v>
      </c>
      <c r="D10" s="469"/>
      <c r="E10" s="469"/>
      <c r="F10" s="470"/>
      <c r="G10" s="470"/>
      <c r="H10" s="470"/>
      <c r="I10" s="470"/>
      <c r="J10" s="470"/>
      <c r="K10" s="470"/>
      <c r="L10" s="471">
        <f t="shared" si="1"/>
        <v>0</v>
      </c>
      <c r="M10" s="471">
        <f t="shared" si="18"/>
        <v>0</v>
      </c>
      <c r="N10" s="488">
        <f>IF(Avr!$H$47="x",AV10+Avr!$N$36,AV10)</f>
        <v>0.95</v>
      </c>
      <c r="O10" s="483" t="str">
        <f t="shared" si="2"/>
        <v>-</v>
      </c>
      <c r="P10" s="473">
        <f>ABS(M10-N10-U4)</f>
        <v>0.95</v>
      </c>
      <c r="Q10" s="474">
        <f t="shared" si="3"/>
        <v>0</v>
      </c>
      <c r="R10" s="474">
        <f t="shared" si="4"/>
        <v>0</v>
      </c>
      <c r="S10" s="474">
        <f t="shared" si="5"/>
        <v>0</v>
      </c>
      <c r="T10" s="474">
        <f t="shared" si="6"/>
        <v>0</v>
      </c>
      <c r="U10" s="471">
        <f t="shared" si="7"/>
        <v>0</v>
      </c>
      <c r="V10" s="471">
        <f t="shared" si="8"/>
        <v>0</v>
      </c>
      <c r="W10" s="471">
        <f t="shared" si="9"/>
        <v>0</v>
      </c>
      <c r="X10" s="471">
        <f t="shared" si="10"/>
        <v>0</v>
      </c>
      <c r="Y10" s="470"/>
      <c r="Z10" s="470"/>
      <c r="AA10" s="469"/>
      <c r="AB10" s="475">
        <f t="shared" si="19"/>
        <v>0</v>
      </c>
      <c r="AC10" s="475">
        <f t="shared" si="20"/>
        <v>0</v>
      </c>
      <c r="AD10" s="475">
        <f t="shared" si="21"/>
        <v>0</v>
      </c>
      <c r="AE10" s="475">
        <f t="shared" si="22"/>
        <v>0</v>
      </c>
      <c r="AF10" s="476">
        <f t="shared" si="23"/>
        <v>0</v>
      </c>
      <c r="AG10" s="475">
        <f t="shared" si="24"/>
        <v>0</v>
      </c>
      <c r="AH10" s="476">
        <f t="shared" si="25"/>
        <v>0</v>
      </c>
      <c r="AI10" s="475">
        <f t="shared" si="26"/>
        <v>0</v>
      </c>
      <c r="AJ10" s="477">
        <f>IF((D10&lt;&gt;""),VLOOKUP(D10,Données!$E$36:$H$59,4,FALSE),)</f>
        <v>0</v>
      </c>
      <c r="AK10" s="477">
        <f t="shared" ref="AK10:AK37" si="27">IF(V10&gt;0,L10,0)</f>
        <v>0</v>
      </c>
      <c r="AL10" s="478">
        <f t="shared" ref="AL10:AL37" si="28">IF(L10&gt;0,D10,0)</f>
        <v>0</v>
      </c>
      <c r="AM10" s="479">
        <f t="shared" ref="AM10:AM37" si="29">IF((E10="X")*OR(E10="x"),1,0)</f>
        <v>0</v>
      </c>
      <c r="AN10" s="480">
        <f t="shared" si="11"/>
        <v>0</v>
      </c>
      <c r="AO10" s="477">
        <f t="shared" si="12"/>
        <v>0</v>
      </c>
      <c r="AP10" s="481">
        <f t="shared" ref="AP10:AP37" si="30">IF((F10&lt;=$AQ$2)*AND(G10&gt;=$AQ$3),1,)+IF((H10&lt;=$AQ$2)*AND(I10&gt;=$AQ$3),1,)+IF((J10&lt;=$AQ$2)*AND(K10&gt;=$AQ$3),1,)</f>
        <v>0</v>
      </c>
      <c r="AQ10" s="481">
        <f t="shared" ref="AQ10:AQ37" si="31">IF((F10&lt;=$AR$2)*AND(G10&gt;=$AR$3),1,)+IF((H10&lt;=$AR$2)*AND(I10&gt;=$AR$3),1,)+IF((J10&lt;=$AR$2)*AND(K10&gt;=$AR$3),1,)</f>
        <v>0</v>
      </c>
      <c r="AR10" s="481">
        <f t="shared" ref="AR10:AR37" si="32">IF((F10&lt;=$AS$2)*AND(G10&gt;=$AS$3),1,)+IF((H10&lt;=$AS$2)*AND(I10&gt;=$AS$3),1,)+IF((J10&lt;=$AS$2)*AND(K10&gt;=$AS$3),1,)</f>
        <v>0</v>
      </c>
      <c r="AS10" s="481">
        <f t="shared" ref="AS10:AS37" si="33">IF((F10=$AT$2)*AND(G10&gt;=$AT$3),1,)+IF((H10=$AT$2)*AND(I10&gt;=$AT$3),1,)+IF((J10=$AT$2)*AND(K10&gt;=$AT$3),1,)</f>
        <v>0</v>
      </c>
      <c r="AT10" s="479">
        <f t="shared" si="13"/>
        <v>0</v>
      </c>
      <c r="AU10" s="479">
        <f t="shared" si="14"/>
        <v>0</v>
      </c>
      <c r="AV10" s="471">
        <f>IF(Données!$H$8="x",AW10,AX10)</f>
        <v>0.95</v>
      </c>
      <c r="AW10" s="471">
        <f t="shared" si="15"/>
        <v>0.47499999999999998</v>
      </c>
      <c r="AX10" s="471">
        <f t="shared" si="16"/>
        <v>0.95</v>
      </c>
      <c r="AY10" s="467" t="str">
        <f t="shared" si="17"/>
        <v>Me</v>
      </c>
      <c r="AZ10" s="7">
        <f>IF((S40="B1")*AND(S41&lt;&gt;""),VLOOKUP(S41,Échelle!$Z$5:$AA$31,2),)</f>
        <v>0</v>
      </c>
      <c r="BA10" s="4" t="s">
        <v>3</v>
      </c>
      <c r="BB10" s="148"/>
    </row>
    <row r="11" spans="2:54" x14ac:dyDescent="0.2">
      <c r="B11" s="467" t="s">
        <v>180</v>
      </c>
      <c r="C11" s="468" t="s">
        <v>381</v>
      </c>
      <c r="D11" s="469"/>
      <c r="E11" s="490"/>
      <c r="F11" s="470"/>
      <c r="G11" s="470"/>
      <c r="H11" s="470"/>
      <c r="I11" s="470"/>
      <c r="J11" s="470"/>
      <c r="K11" s="470"/>
      <c r="L11" s="471">
        <f t="shared" si="1"/>
        <v>0</v>
      </c>
      <c r="M11" s="471">
        <f t="shared" si="18"/>
        <v>0</v>
      </c>
      <c r="N11" s="488">
        <f>IF(Avr!$H$47="x",AV11+Avr!$N$36,AV11)</f>
        <v>1.2666666666666666</v>
      </c>
      <c r="O11" s="483" t="str">
        <f t="shared" si="2"/>
        <v>-</v>
      </c>
      <c r="P11" s="473">
        <f>ABS(M11-N11-U4)</f>
        <v>1.2666666666666666</v>
      </c>
      <c r="Q11" s="474">
        <f t="shared" si="3"/>
        <v>0</v>
      </c>
      <c r="R11" s="474">
        <f t="shared" si="4"/>
        <v>0</v>
      </c>
      <c r="S11" s="474">
        <f t="shared" si="5"/>
        <v>0</v>
      </c>
      <c r="T11" s="474">
        <f t="shared" si="6"/>
        <v>0</v>
      </c>
      <c r="U11" s="471">
        <f t="shared" si="7"/>
        <v>0</v>
      </c>
      <c r="V11" s="471">
        <f t="shared" si="8"/>
        <v>0</v>
      </c>
      <c r="W11" s="471">
        <f t="shared" si="9"/>
        <v>0</v>
      </c>
      <c r="X11" s="471">
        <f t="shared" si="10"/>
        <v>0</v>
      </c>
      <c r="Y11" s="470"/>
      <c r="Z11" s="470"/>
      <c r="AA11" s="469"/>
      <c r="AB11" s="475">
        <f t="shared" si="19"/>
        <v>0</v>
      </c>
      <c r="AC11" s="475">
        <f t="shared" si="20"/>
        <v>0</v>
      </c>
      <c r="AD11" s="475">
        <f t="shared" si="21"/>
        <v>0</v>
      </c>
      <c r="AE11" s="475">
        <f t="shared" si="22"/>
        <v>0</v>
      </c>
      <c r="AF11" s="476">
        <f t="shared" si="23"/>
        <v>0</v>
      </c>
      <c r="AG11" s="475">
        <f t="shared" si="24"/>
        <v>0</v>
      </c>
      <c r="AH11" s="476">
        <f t="shared" si="25"/>
        <v>0</v>
      </c>
      <c r="AI11" s="475">
        <f t="shared" si="26"/>
        <v>0</v>
      </c>
      <c r="AJ11" s="477">
        <f>IF((D11&lt;&gt;""),VLOOKUP(D11,Données!$E$36:$H$59,4,FALSE),)</f>
        <v>0</v>
      </c>
      <c r="AK11" s="477">
        <f t="shared" si="27"/>
        <v>0</v>
      </c>
      <c r="AL11" s="478">
        <f t="shared" si="28"/>
        <v>0</v>
      </c>
      <c r="AM11" s="479">
        <f t="shared" si="29"/>
        <v>0</v>
      </c>
      <c r="AN11" s="480">
        <f t="shared" si="11"/>
        <v>0</v>
      </c>
      <c r="AO11" s="477">
        <f t="shared" si="12"/>
        <v>0</v>
      </c>
      <c r="AP11" s="481">
        <f t="shared" si="30"/>
        <v>0</v>
      </c>
      <c r="AQ11" s="481">
        <f t="shared" si="31"/>
        <v>0</v>
      </c>
      <c r="AR11" s="481">
        <f t="shared" si="32"/>
        <v>0</v>
      </c>
      <c r="AS11" s="481">
        <f t="shared" si="33"/>
        <v>0</v>
      </c>
      <c r="AT11" s="479">
        <f t="shared" si="13"/>
        <v>0</v>
      </c>
      <c r="AU11" s="479">
        <f t="shared" si="14"/>
        <v>0</v>
      </c>
      <c r="AV11" s="471">
        <f>IF(Données!$H$8="x",AW11,AX11)</f>
        <v>1.2666666666666666</v>
      </c>
      <c r="AW11" s="471">
        <f t="shared" si="15"/>
        <v>0.6333333333333333</v>
      </c>
      <c r="AX11" s="471">
        <f t="shared" si="16"/>
        <v>1.2666666666666666</v>
      </c>
      <c r="AY11" s="467" t="str">
        <f t="shared" si="17"/>
        <v>Je</v>
      </c>
      <c r="AZ11" s="7">
        <f>IF((S40="B2")*AND(S41&lt;&gt;""),VLOOKUP(S41,Échelle!$AC$5:$AD$31,2),)</f>
        <v>0</v>
      </c>
      <c r="BA11" s="4" t="s">
        <v>4</v>
      </c>
      <c r="BB11" s="148"/>
    </row>
    <row r="12" spans="2:54" ht="13.5" customHeight="1" x14ac:dyDescent="0.2">
      <c r="B12" s="467" t="s">
        <v>182</v>
      </c>
      <c r="C12" s="468" t="s">
        <v>382</v>
      </c>
      <c r="D12" s="469"/>
      <c r="E12" s="469"/>
      <c r="F12" s="470"/>
      <c r="G12" s="470"/>
      <c r="H12" s="470"/>
      <c r="I12" s="470"/>
      <c r="J12" s="470"/>
      <c r="K12" s="470"/>
      <c r="L12" s="471">
        <f t="shared" si="1"/>
        <v>0</v>
      </c>
      <c r="M12" s="471">
        <f>M11+L12</f>
        <v>0</v>
      </c>
      <c r="N12" s="488">
        <f>IF(Avr!$H$47="x",AV12+Avr!$N$36,AV12)</f>
        <v>1.5833333333333333</v>
      </c>
      <c r="O12" s="483" t="str">
        <f t="shared" si="2"/>
        <v>-</v>
      </c>
      <c r="P12" s="473">
        <f>ABS(M12-N12-U4)</f>
        <v>1.5833333333333333</v>
      </c>
      <c r="Q12" s="474">
        <f t="shared" si="3"/>
        <v>0</v>
      </c>
      <c r="R12" s="474">
        <f t="shared" si="4"/>
        <v>0</v>
      </c>
      <c r="S12" s="474">
        <f t="shared" si="5"/>
        <v>0</v>
      </c>
      <c r="T12" s="474">
        <f t="shared" si="6"/>
        <v>0</v>
      </c>
      <c r="U12" s="471">
        <f t="shared" si="7"/>
        <v>0</v>
      </c>
      <c r="V12" s="471">
        <f t="shared" si="8"/>
        <v>0</v>
      </c>
      <c r="W12" s="471">
        <f t="shared" si="9"/>
        <v>0</v>
      </c>
      <c r="X12" s="471">
        <f t="shared" si="10"/>
        <v>0</v>
      </c>
      <c r="Y12" s="470"/>
      <c r="Z12" s="470"/>
      <c r="AA12" s="469"/>
      <c r="AB12" s="475">
        <f t="shared" si="19"/>
        <v>0</v>
      </c>
      <c r="AC12" s="475">
        <f t="shared" si="20"/>
        <v>0</v>
      </c>
      <c r="AD12" s="475">
        <f t="shared" si="21"/>
        <v>0</v>
      </c>
      <c r="AE12" s="475">
        <f t="shared" si="22"/>
        <v>0</v>
      </c>
      <c r="AF12" s="476">
        <f t="shared" si="23"/>
        <v>0</v>
      </c>
      <c r="AG12" s="475">
        <f t="shared" si="24"/>
        <v>0</v>
      </c>
      <c r="AH12" s="476">
        <f t="shared" si="25"/>
        <v>0</v>
      </c>
      <c r="AI12" s="475">
        <f t="shared" si="26"/>
        <v>0</v>
      </c>
      <c r="AJ12" s="477">
        <f>IF((D12&lt;&gt;""),VLOOKUP(D12,Données!$E$36:$H$59,4,FALSE),)</f>
        <v>0</v>
      </c>
      <c r="AK12" s="477">
        <f t="shared" si="27"/>
        <v>0</v>
      </c>
      <c r="AL12" s="478">
        <f t="shared" si="28"/>
        <v>0</v>
      </c>
      <c r="AM12" s="479">
        <f t="shared" si="29"/>
        <v>0</v>
      </c>
      <c r="AN12" s="480">
        <f t="shared" si="11"/>
        <v>0</v>
      </c>
      <c r="AO12" s="477">
        <f t="shared" si="12"/>
        <v>0</v>
      </c>
      <c r="AP12" s="481">
        <f t="shared" si="30"/>
        <v>0</v>
      </c>
      <c r="AQ12" s="481">
        <f t="shared" si="31"/>
        <v>0</v>
      </c>
      <c r="AR12" s="481">
        <f t="shared" si="32"/>
        <v>0</v>
      </c>
      <c r="AS12" s="481">
        <f t="shared" si="33"/>
        <v>0</v>
      </c>
      <c r="AT12" s="479">
        <f t="shared" si="13"/>
        <v>0</v>
      </c>
      <c r="AU12" s="479">
        <f t="shared" si="14"/>
        <v>0</v>
      </c>
      <c r="AV12" s="471">
        <f>IF(Données!$H$8="x",AW12,AX12)</f>
        <v>1.5833333333333333</v>
      </c>
      <c r="AW12" s="471">
        <f t="shared" si="15"/>
        <v>0.79166666666666663</v>
      </c>
      <c r="AX12" s="471">
        <f t="shared" si="16"/>
        <v>1.5833333333333333</v>
      </c>
      <c r="AY12" s="467" t="str">
        <f t="shared" si="17"/>
        <v>Ve</v>
      </c>
      <c r="AZ12" s="7">
        <f>IF((S40="B3")*AND(S41&lt;&gt;""),VLOOKUP(S41,Échelle!$AF$5:$AG$31,2),)</f>
        <v>0</v>
      </c>
      <c r="BA12" s="4" t="s">
        <v>5</v>
      </c>
      <c r="BB12" s="148"/>
    </row>
    <row r="13" spans="2:54" ht="13.5" customHeight="1" x14ac:dyDescent="0.2">
      <c r="B13" s="403" t="s">
        <v>184</v>
      </c>
      <c r="C13" s="412" t="s">
        <v>383</v>
      </c>
      <c r="D13" s="411"/>
      <c r="E13" s="411"/>
      <c r="F13" s="401"/>
      <c r="G13" s="401"/>
      <c r="H13" s="401"/>
      <c r="I13" s="401"/>
      <c r="J13" s="401"/>
      <c r="K13" s="401"/>
      <c r="L13" s="402">
        <f>(G13-F13)+(I13-H13)+(K13-J13)</f>
        <v>0</v>
      </c>
      <c r="M13" s="402">
        <f>M12+L13</f>
        <v>0</v>
      </c>
      <c r="N13" s="407">
        <f>IF(Avr!$H$47="x",AV13+Avr!$N$36,AV13)</f>
        <v>1.5833333333333333</v>
      </c>
      <c r="O13" s="408" t="str">
        <f t="shared" si="2"/>
        <v>-</v>
      </c>
      <c r="P13" s="413">
        <f>ABS(M13-N13-U4)</f>
        <v>1.5833333333333333</v>
      </c>
      <c r="Q13" s="410">
        <f t="shared" si="3"/>
        <v>0</v>
      </c>
      <c r="R13" s="410">
        <f t="shared" si="4"/>
        <v>0</v>
      </c>
      <c r="S13" s="410">
        <f t="shared" si="5"/>
        <v>0</v>
      </c>
      <c r="T13" s="410">
        <f t="shared" si="6"/>
        <v>0</v>
      </c>
      <c r="U13" s="402">
        <f t="shared" si="7"/>
        <v>0</v>
      </c>
      <c r="V13" s="402">
        <f>L13</f>
        <v>0</v>
      </c>
      <c r="W13" s="402">
        <f t="shared" si="9"/>
        <v>0</v>
      </c>
      <c r="X13" s="402">
        <f t="shared" si="10"/>
        <v>0</v>
      </c>
      <c r="Y13" s="401"/>
      <c r="Z13" s="401"/>
      <c r="AA13" s="411"/>
      <c r="AB13" s="420">
        <f t="shared" si="19"/>
        <v>0</v>
      </c>
      <c r="AC13" s="420">
        <f t="shared" si="20"/>
        <v>0</v>
      </c>
      <c r="AD13" s="420">
        <f t="shared" si="21"/>
        <v>0</v>
      </c>
      <c r="AE13" s="420">
        <f t="shared" si="22"/>
        <v>0</v>
      </c>
      <c r="AF13" s="421">
        <f t="shared" si="23"/>
        <v>0</v>
      </c>
      <c r="AG13" s="420">
        <f t="shared" si="24"/>
        <v>0</v>
      </c>
      <c r="AH13" s="421">
        <f t="shared" si="25"/>
        <v>0</v>
      </c>
      <c r="AI13" s="420">
        <f t="shared" si="26"/>
        <v>0</v>
      </c>
      <c r="AJ13" s="422">
        <f>IF((D13&lt;&gt;""),VLOOKUP(D13,Données!$E$36:$H$59,4,FALSE),)</f>
        <v>0</v>
      </c>
      <c r="AK13" s="422">
        <f t="shared" si="27"/>
        <v>0</v>
      </c>
      <c r="AL13" s="423">
        <f t="shared" si="28"/>
        <v>0</v>
      </c>
      <c r="AM13" s="424">
        <f t="shared" si="29"/>
        <v>0</v>
      </c>
      <c r="AN13" s="425">
        <f t="shared" si="11"/>
        <v>0</v>
      </c>
      <c r="AO13" s="422">
        <f t="shared" si="12"/>
        <v>0</v>
      </c>
      <c r="AP13" s="426">
        <f t="shared" si="30"/>
        <v>0</v>
      </c>
      <c r="AQ13" s="426">
        <f t="shared" si="31"/>
        <v>0</v>
      </c>
      <c r="AR13" s="426">
        <f t="shared" si="32"/>
        <v>0</v>
      </c>
      <c r="AS13" s="426">
        <f t="shared" si="33"/>
        <v>0</v>
      </c>
      <c r="AT13" s="424">
        <f t="shared" si="13"/>
        <v>0</v>
      </c>
      <c r="AU13" s="424">
        <f t="shared" si="14"/>
        <v>0</v>
      </c>
      <c r="AV13" s="402">
        <f>IF(Données!$H$8="x",AW13,AX13)</f>
        <v>1.5833333333333333</v>
      </c>
      <c r="AW13" s="402">
        <f t="shared" si="15"/>
        <v>0.79166666666666663</v>
      </c>
      <c r="AX13" s="402">
        <f>AX12</f>
        <v>1.5833333333333333</v>
      </c>
      <c r="AY13" s="403" t="str">
        <f t="shared" si="17"/>
        <v>Sa</v>
      </c>
      <c r="AZ13" s="423">
        <f>IF((S40="B4")*AND(S41&lt;&gt;""),VLOOKUP(S41,Échelle!$AI$5:$AJ$34,2),)</f>
        <v>24661</v>
      </c>
      <c r="BA13" s="424" t="s">
        <v>6</v>
      </c>
      <c r="BB13" s="148"/>
    </row>
    <row r="14" spans="2:54" x14ac:dyDescent="0.2">
      <c r="B14" s="403" t="s">
        <v>186</v>
      </c>
      <c r="C14" s="412" t="s">
        <v>384</v>
      </c>
      <c r="D14" s="411"/>
      <c r="E14" s="411"/>
      <c r="F14" s="401"/>
      <c r="G14" s="401"/>
      <c r="H14" s="401"/>
      <c r="I14" s="401"/>
      <c r="J14" s="401"/>
      <c r="K14" s="401"/>
      <c r="L14" s="402">
        <f>(G14-F14)+(I14-H14)+(K14-J14)</f>
        <v>0</v>
      </c>
      <c r="M14" s="402">
        <f t="shared" si="18"/>
        <v>0</v>
      </c>
      <c r="N14" s="407">
        <f>IF(Avr!$H$47="x",AV14+Avr!$N$36,AV14)</f>
        <v>1.5833333333333333</v>
      </c>
      <c r="O14" s="408" t="str">
        <f t="shared" si="2"/>
        <v>-</v>
      </c>
      <c r="P14" s="413">
        <f>ABS(M14-N14-U4)</f>
        <v>1.5833333333333333</v>
      </c>
      <c r="Q14" s="410">
        <f t="shared" si="3"/>
        <v>0</v>
      </c>
      <c r="R14" s="410">
        <f t="shared" si="4"/>
        <v>0</v>
      </c>
      <c r="S14" s="410">
        <f t="shared" si="5"/>
        <v>0</v>
      </c>
      <c r="T14" s="410">
        <f t="shared" si="6"/>
        <v>0</v>
      </c>
      <c r="U14" s="402">
        <f t="shared" si="7"/>
        <v>0</v>
      </c>
      <c r="V14" s="402">
        <f>L14</f>
        <v>0</v>
      </c>
      <c r="W14" s="402">
        <f t="shared" si="9"/>
        <v>0</v>
      </c>
      <c r="X14" s="402">
        <f t="shared" si="10"/>
        <v>0</v>
      </c>
      <c r="Y14" s="401"/>
      <c r="Z14" s="401"/>
      <c r="AA14" s="411"/>
      <c r="AB14" s="420">
        <f t="shared" si="19"/>
        <v>0</v>
      </c>
      <c r="AC14" s="420">
        <f t="shared" si="20"/>
        <v>0</v>
      </c>
      <c r="AD14" s="420">
        <f t="shared" si="21"/>
        <v>0</v>
      </c>
      <c r="AE14" s="420">
        <f t="shared" si="22"/>
        <v>0</v>
      </c>
      <c r="AF14" s="421">
        <f t="shared" si="23"/>
        <v>0</v>
      </c>
      <c r="AG14" s="420">
        <f t="shared" si="24"/>
        <v>0</v>
      </c>
      <c r="AH14" s="421">
        <f t="shared" si="25"/>
        <v>0</v>
      </c>
      <c r="AI14" s="420">
        <f t="shared" si="26"/>
        <v>0</v>
      </c>
      <c r="AJ14" s="422">
        <f>IF((D14&lt;&gt;""),VLOOKUP(D14,Données!$E$36:$H$59,4,FALSE),)</f>
        <v>0</v>
      </c>
      <c r="AK14" s="422">
        <f t="shared" si="27"/>
        <v>0</v>
      </c>
      <c r="AL14" s="423">
        <f t="shared" si="28"/>
        <v>0</v>
      </c>
      <c r="AM14" s="424">
        <f t="shared" si="29"/>
        <v>0</v>
      </c>
      <c r="AN14" s="425">
        <f t="shared" si="11"/>
        <v>0</v>
      </c>
      <c r="AO14" s="422">
        <f t="shared" si="12"/>
        <v>0</v>
      </c>
      <c r="AP14" s="426">
        <f t="shared" si="30"/>
        <v>0</v>
      </c>
      <c r="AQ14" s="426">
        <f t="shared" si="31"/>
        <v>0</v>
      </c>
      <c r="AR14" s="426">
        <f t="shared" si="32"/>
        <v>0</v>
      </c>
      <c r="AS14" s="426">
        <f t="shared" si="33"/>
        <v>0</v>
      </c>
      <c r="AT14" s="424">
        <f t="shared" si="13"/>
        <v>0</v>
      </c>
      <c r="AU14" s="424">
        <f t="shared" si="14"/>
        <v>0</v>
      </c>
      <c r="AV14" s="402">
        <f>IF(Données!$H$8="x",AW14,AX14)</f>
        <v>1.5833333333333333</v>
      </c>
      <c r="AW14" s="402">
        <f t="shared" si="15"/>
        <v>0.79166666666666663</v>
      </c>
      <c r="AX14" s="402">
        <f>AX13</f>
        <v>1.5833333333333333</v>
      </c>
      <c r="AY14" s="403" t="str">
        <f t="shared" si="17"/>
        <v>Di</v>
      </c>
      <c r="AZ14" s="423">
        <f>IF((S40="B5")*AND(S41&lt;&gt;""),VLOOKUP(S41,Échelle!$AL$5:$AM$34,2),)</f>
        <v>0</v>
      </c>
      <c r="BA14" s="424" t="s">
        <v>7</v>
      </c>
      <c r="BB14" s="148"/>
    </row>
    <row r="15" spans="2:54" x14ac:dyDescent="0.2">
      <c r="B15" s="467" t="s">
        <v>188</v>
      </c>
      <c r="C15" s="468" t="s">
        <v>385</v>
      </c>
      <c r="D15" s="469"/>
      <c r="E15" s="469"/>
      <c r="F15" s="470"/>
      <c r="G15" s="470"/>
      <c r="H15" s="470"/>
      <c r="I15" s="470"/>
      <c r="J15" s="470"/>
      <c r="K15" s="470"/>
      <c r="L15" s="471">
        <f t="shared" si="1"/>
        <v>0</v>
      </c>
      <c r="M15" s="471">
        <f t="shared" si="18"/>
        <v>0</v>
      </c>
      <c r="N15" s="488">
        <f>IF(Avr!$H$47="x",AV15+Avr!$N$36,AV15)</f>
        <v>1.9</v>
      </c>
      <c r="O15" s="483" t="str">
        <f t="shared" si="2"/>
        <v>-</v>
      </c>
      <c r="P15" s="473">
        <f>ABS(M15-N15-U4)</f>
        <v>1.9</v>
      </c>
      <c r="Q15" s="474">
        <f t="shared" si="3"/>
        <v>0</v>
      </c>
      <c r="R15" s="474">
        <f t="shared" si="4"/>
        <v>0</v>
      </c>
      <c r="S15" s="474">
        <f t="shared" si="5"/>
        <v>0</v>
      </c>
      <c r="T15" s="474">
        <f t="shared" si="6"/>
        <v>0</v>
      </c>
      <c r="U15" s="471">
        <f t="shared" si="7"/>
        <v>0</v>
      </c>
      <c r="V15" s="471">
        <f t="shared" ref="V15:V19" si="34">IF(D15="F",L15,0)</f>
        <v>0</v>
      </c>
      <c r="W15" s="471">
        <f t="shared" si="9"/>
        <v>0</v>
      </c>
      <c r="X15" s="471">
        <f t="shared" si="10"/>
        <v>0</v>
      </c>
      <c r="Y15" s="470"/>
      <c r="Z15" s="470"/>
      <c r="AA15" s="469"/>
      <c r="AB15" s="475">
        <f t="shared" si="19"/>
        <v>0</v>
      </c>
      <c r="AC15" s="475">
        <f t="shared" si="20"/>
        <v>0</v>
      </c>
      <c r="AD15" s="475">
        <f t="shared" si="21"/>
        <v>0</v>
      </c>
      <c r="AE15" s="475">
        <f t="shared" si="22"/>
        <v>0</v>
      </c>
      <c r="AF15" s="476">
        <f t="shared" si="23"/>
        <v>0</v>
      </c>
      <c r="AG15" s="475">
        <f t="shared" si="24"/>
        <v>0</v>
      </c>
      <c r="AH15" s="476">
        <f t="shared" si="25"/>
        <v>0</v>
      </c>
      <c r="AI15" s="475">
        <f t="shared" si="26"/>
        <v>0</v>
      </c>
      <c r="AJ15" s="477">
        <f>IF((D15&lt;&gt;""),VLOOKUP(D15,Données!$E$36:$H$59,4,FALSE),)</f>
        <v>0</v>
      </c>
      <c r="AK15" s="477">
        <f t="shared" si="27"/>
        <v>0</v>
      </c>
      <c r="AL15" s="478">
        <f t="shared" si="28"/>
        <v>0</v>
      </c>
      <c r="AM15" s="479">
        <f t="shared" si="29"/>
        <v>0</v>
      </c>
      <c r="AN15" s="480">
        <f t="shared" si="11"/>
        <v>0</v>
      </c>
      <c r="AO15" s="477">
        <f t="shared" si="12"/>
        <v>0</v>
      </c>
      <c r="AP15" s="481">
        <f t="shared" si="30"/>
        <v>0</v>
      </c>
      <c r="AQ15" s="481">
        <f t="shared" si="31"/>
        <v>0</v>
      </c>
      <c r="AR15" s="481">
        <f t="shared" si="32"/>
        <v>0</v>
      </c>
      <c r="AS15" s="481">
        <f t="shared" si="33"/>
        <v>0</v>
      </c>
      <c r="AT15" s="479">
        <f t="shared" si="13"/>
        <v>0</v>
      </c>
      <c r="AU15" s="479">
        <f t="shared" si="14"/>
        <v>0</v>
      </c>
      <c r="AV15" s="471">
        <f>IF(Données!$H$8="x",AW15,AX15)</f>
        <v>1.9</v>
      </c>
      <c r="AW15" s="471">
        <f t="shared" si="15"/>
        <v>0.95</v>
      </c>
      <c r="AX15" s="471">
        <f t="shared" ref="AX15:AX19" si="35">IF(D15="L",AX14,(AX14+"07:36"))</f>
        <v>1.9</v>
      </c>
      <c r="AY15" s="467" t="str">
        <f t="shared" si="17"/>
        <v>Lu</v>
      </c>
      <c r="AZ15" s="7">
        <f>IF((S40="M1.1")*AND(S41&lt;&gt;""),VLOOKUP(S41,Échelle!$AO$5:$AP$31,2),)</f>
        <v>0</v>
      </c>
      <c r="BA15" s="4" t="s">
        <v>8</v>
      </c>
      <c r="BB15" s="148"/>
    </row>
    <row r="16" spans="2:54" x14ac:dyDescent="0.2">
      <c r="B16" s="467" t="s">
        <v>176</v>
      </c>
      <c r="C16" s="468" t="s">
        <v>386</v>
      </c>
      <c r="D16" s="469"/>
      <c r="E16" s="469"/>
      <c r="F16" s="470"/>
      <c r="G16" s="470"/>
      <c r="H16" s="470"/>
      <c r="I16" s="470"/>
      <c r="J16" s="470"/>
      <c r="K16" s="470"/>
      <c r="L16" s="471">
        <f t="shared" si="1"/>
        <v>0</v>
      </c>
      <c r="M16" s="471">
        <f t="shared" si="18"/>
        <v>0</v>
      </c>
      <c r="N16" s="488">
        <f>IF(Avr!$H$47="x",AV16+Avr!$N$36,AV16)</f>
        <v>2.2166666666666668</v>
      </c>
      <c r="O16" s="483" t="str">
        <f t="shared" si="2"/>
        <v>-</v>
      </c>
      <c r="P16" s="473">
        <f>ABS(M16-N16-U4)</f>
        <v>2.2166666666666668</v>
      </c>
      <c r="Q16" s="474">
        <f t="shared" si="3"/>
        <v>0</v>
      </c>
      <c r="R16" s="474">
        <f t="shared" si="4"/>
        <v>0</v>
      </c>
      <c r="S16" s="474">
        <f t="shared" si="5"/>
        <v>0</v>
      </c>
      <c r="T16" s="474">
        <f t="shared" si="6"/>
        <v>0</v>
      </c>
      <c r="U16" s="471">
        <f t="shared" si="7"/>
        <v>0</v>
      </c>
      <c r="V16" s="471">
        <f t="shared" si="34"/>
        <v>0</v>
      </c>
      <c r="W16" s="471">
        <f t="shared" si="9"/>
        <v>0</v>
      </c>
      <c r="X16" s="471">
        <f t="shared" si="10"/>
        <v>0</v>
      </c>
      <c r="Y16" s="470"/>
      <c r="Z16" s="470"/>
      <c r="AA16" s="469"/>
      <c r="AB16" s="475">
        <f t="shared" si="19"/>
        <v>0</v>
      </c>
      <c r="AC16" s="475">
        <f t="shared" si="20"/>
        <v>0</v>
      </c>
      <c r="AD16" s="475">
        <f t="shared" si="21"/>
        <v>0</v>
      </c>
      <c r="AE16" s="475">
        <f t="shared" si="22"/>
        <v>0</v>
      </c>
      <c r="AF16" s="476">
        <f t="shared" si="23"/>
        <v>0</v>
      </c>
      <c r="AG16" s="475">
        <f t="shared" si="24"/>
        <v>0</v>
      </c>
      <c r="AH16" s="476">
        <f t="shared" si="25"/>
        <v>0</v>
      </c>
      <c r="AI16" s="475">
        <f t="shared" si="26"/>
        <v>0</v>
      </c>
      <c r="AJ16" s="477">
        <f>IF((D16&lt;&gt;""),VLOOKUP(D16,Données!$E$36:$H$59,4,FALSE),)</f>
        <v>0</v>
      </c>
      <c r="AK16" s="477">
        <f t="shared" si="27"/>
        <v>0</v>
      </c>
      <c r="AL16" s="478">
        <f t="shared" si="28"/>
        <v>0</v>
      </c>
      <c r="AM16" s="479">
        <f t="shared" si="29"/>
        <v>0</v>
      </c>
      <c r="AN16" s="480">
        <f t="shared" si="11"/>
        <v>0</v>
      </c>
      <c r="AO16" s="477">
        <f t="shared" si="12"/>
        <v>0</v>
      </c>
      <c r="AP16" s="481">
        <f t="shared" si="30"/>
        <v>0</v>
      </c>
      <c r="AQ16" s="481">
        <f t="shared" si="31"/>
        <v>0</v>
      </c>
      <c r="AR16" s="481">
        <f t="shared" si="32"/>
        <v>0</v>
      </c>
      <c r="AS16" s="481">
        <f t="shared" si="33"/>
        <v>0</v>
      </c>
      <c r="AT16" s="479">
        <f t="shared" si="13"/>
        <v>0</v>
      </c>
      <c r="AU16" s="479">
        <f t="shared" si="14"/>
        <v>0</v>
      </c>
      <c r="AV16" s="471">
        <f>IF(Données!$H$8="x",AW16,AX16)</f>
        <v>2.2166666666666668</v>
      </c>
      <c r="AW16" s="471">
        <f t="shared" si="15"/>
        <v>1.1083333333333334</v>
      </c>
      <c r="AX16" s="471">
        <f t="shared" si="35"/>
        <v>2.2166666666666668</v>
      </c>
      <c r="AY16" s="467" t="str">
        <f t="shared" si="17"/>
        <v>Ma</v>
      </c>
      <c r="AZ16" s="7">
        <f>IF((S40="M1.2")*AND(S41&lt;&gt;""),VLOOKUP(S41,Échelle!$AR$5:$AS$31,2),)</f>
        <v>0</v>
      </c>
      <c r="BA16" s="4" t="s">
        <v>9</v>
      </c>
      <c r="BB16" s="148"/>
    </row>
    <row r="17" spans="2:54" x14ac:dyDescent="0.2">
      <c r="B17" s="491" t="s">
        <v>178</v>
      </c>
      <c r="C17" s="468" t="s">
        <v>387</v>
      </c>
      <c r="D17" s="469"/>
      <c r="E17" s="469"/>
      <c r="F17" s="470"/>
      <c r="G17" s="470"/>
      <c r="H17" s="470"/>
      <c r="I17" s="470"/>
      <c r="J17" s="470"/>
      <c r="K17" s="470"/>
      <c r="L17" s="471">
        <f t="shared" si="1"/>
        <v>0</v>
      </c>
      <c r="M17" s="471">
        <f t="shared" si="18"/>
        <v>0</v>
      </c>
      <c r="N17" s="488">
        <f>IF(Avr!$H$47="x",AV17+Avr!$N$36,AV17)</f>
        <v>2.5333333333333332</v>
      </c>
      <c r="O17" s="483" t="str">
        <f t="shared" si="2"/>
        <v>-</v>
      </c>
      <c r="P17" s="473">
        <f>ABS(M17-N17-U4)</f>
        <v>2.5333333333333332</v>
      </c>
      <c r="Q17" s="474">
        <f t="shared" si="3"/>
        <v>0</v>
      </c>
      <c r="R17" s="474">
        <f t="shared" si="4"/>
        <v>0</v>
      </c>
      <c r="S17" s="474">
        <f t="shared" si="5"/>
        <v>0</v>
      </c>
      <c r="T17" s="474">
        <f t="shared" si="6"/>
        <v>0</v>
      </c>
      <c r="U17" s="471">
        <f t="shared" si="7"/>
        <v>0</v>
      </c>
      <c r="V17" s="471">
        <f t="shared" si="34"/>
        <v>0</v>
      </c>
      <c r="W17" s="471">
        <f t="shared" si="9"/>
        <v>0</v>
      </c>
      <c r="X17" s="471">
        <f t="shared" si="10"/>
        <v>0</v>
      </c>
      <c r="Y17" s="470"/>
      <c r="Z17" s="470"/>
      <c r="AA17" s="469"/>
      <c r="AB17" s="475">
        <f t="shared" si="19"/>
        <v>0</v>
      </c>
      <c r="AC17" s="475">
        <f t="shared" si="20"/>
        <v>0</v>
      </c>
      <c r="AD17" s="475">
        <f t="shared" si="21"/>
        <v>0</v>
      </c>
      <c r="AE17" s="475">
        <f t="shared" si="22"/>
        <v>0</v>
      </c>
      <c r="AF17" s="476">
        <f t="shared" si="23"/>
        <v>0</v>
      </c>
      <c r="AG17" s="475">
        <f t="shared" si="24"/>
        <v>0</v>
      </c>
      <c r="AH17" s="476">
        <f t="shared" si="25"/>
        <v>0</v>
      </c>
      <c r="AI17" s="475">
        <f t="shared" si="26"/>
        <v>0</v>
      </c>
      <c r="AJ17" s="477">
        <f>IF((D17&lt;&gt;""),VLOOKUP(D17,Données!$E$36:$H$59,4,FALSE),)</f>
        <v>0</v>
      </c>
      <c r="AK17" s="477">
        <f t="shared" si="27"/>
        <v>0</v>
      </c>
      <c r="AL17" s="478">
        <f t="shared" si="28"/>
        <v>0</v>
      </c>
      <c r="AM17" s="479">
        <f t="shared" si="29"/>
        <v>0</v>
      </c>
      <c r="AN17" s="480">
        <f t="shared" si="11"/>
        <v>0</v>
      </c>
      <c r="AO17" s="477">
        <f t="shared" si="12"/>
        <v>0</v>
      </c>
      <c r="AP17" s="481">
        <f t="shared" si="30"/>
        <v>0</v>
      </c>
      <c r="AQ17" s="481">
        <f t="shared" si="31"/>
        <v>0</v>
      </c>
      <c r="AR17" s="481">
        <f t="shared" si="32"/>
        <v>0</v>
      </c>
      <c r="AS17" s="481">
        <f t="shared" si="33"/>
        <v>0</v>
      </c>
      <c r="AT17" s="479">
        <f t="shared" si="13"/>
        <v>0</v>
      </c>
      <c r="AU17" s="479">
        <f t="shared" si="14"/>
        <v>0</v>
      </c>
      <c r="AV17" s="471">
        <f>IF(Données!$H$8="x",AW17,AX17)</f>
        <v>2.5333333333333332</v>
      </c>
      <c r="AW17" s="471">
        <f t="shared" si="15"/>
        <v>1.2666666666666666</v>
      </c>
      <c r="AX17" s="471">
        <f t="shared" si="35"/>
        <v>2.5333333333333332</v>
      </c>
      <c r="AY17" s="467" t="str">
        <f t="shared" si="17"/>
        <v>Me</v>
      </c>
      <c r="AZ17" s="7">
        <f>IF((S40="M2.1")*AND(S41&lt;&gt;""),VLOOKUP(S41,Échelle!$AU$5:$AV$31,2),)</f>
        <v>0</v>
      </c>
      <c r="BA17" s="4" t="s">
        <v>10</v>
      </c>
      <c r="BB17" s="148"/>
    </row>
    <row r="18" spans="2:54" x14ac:dyDescent="0.2">
      <c r="B18" s="491" t="s">
        <v>180</v>
      </c>
      <c r="C18" s="468" t="s">
        <v>388</v>
      </c>
      <c r="D18" s="469"/>
      <c r="E18" s="469"/>
      <c r="F18" s="470"/>
      <c r="G18" s="470"/>
      <c r="H18" s="470"/>
      <c r="I18" s="470"/>
      <c r="J18" s="470"/>
      <c r="K18" s="470"/>
      <c r="L18" s="471">
        <f t="shared" si="1"/>
        <v>0</v>
      </c>
      <c r="M18" s="471">
        <f t="shared" si="18"/>
        <v>0</v>
      </c>
      <c r="N18" s="488">
        <f>IF(Avr!$H$47="x",AV18+Avr!$N$36,AV18)</f>
        <v>2.8499999999999996</v>
      </c>
      <c r="O18" s="483" t="str">
        <f t="shared" si="2"/>
        <v>-</v>
      </c>
      <c r="P18" s="473">
        <f>ABS(M18-N18-U4)</f>
        <v>2.8499999999999996</v>
      </c>
      <c r="Q18" s="474">
        <f t="shared" si="3"/>
        <v>0</v>
      </c>
      <c r="R18" s="474">
        <f t="shared" si="4"/>
        <v>0</v>
      </c>
      <c r="S18" s="474">
        <f t="shared" si="5"/>
        <v>0</v>
      </c>
      <c r="T18" s="474">
        <f t="shared" si="6"/>
        <v>0</v>
      </c>
      <c r="U18" s="471">
        <f t="shared" si="7"/>
        <v>0</v>
      </c>
      <c r="V18" s="471">
        <f t="shared" si="34"/>
        <v>0</v>
      </c>
      <c r="W18" s="471">
        <f t="shared" si="9"/>
        <v>0</v>
      </c>
      <c r="X18" s="471">
        <f t="shared" si="10"/>
        <v>0</v>
      </c>
      <c r="Y18" s="470"/>
      <c r="Z18" s="470"/>
      <c r="AA18" s="469"/>
      <c r="AB18" s="475">
        <f t="shared" si="19"/>
        <v>0</v>
      </c>
      <c r="AC18" s="475">
        <f t="shared" si="20"/>
        <v>0</v>
      </c>
      <c r="AD18" s="475">
        <f t="shared" si="21"/>
        <v>0</v>
      </c>
      <c r="AE18" s="475">
        <f t="shared" si="22"/>
        <v>0</v>
      </c>
      <c r="AF18" s="476">
        <f t="shared" si="23"/>
        <v>0</v>
      </c>
      <c r="AG18" s="475">
        <f t="shared" si="24"/>
        <v>0</v>
      </c>
      <c r="AH18" s="476">
        <f t="shared" si="25"/>
        <v>0</v>
      </c>
      <c r="AI18" s="475">
        <f t="shared" si="26"/>
        <v>0</v>
      </c>
      <c r="AJ18" s="477">
        <f>IF((D18&lt;&gt;""),VLOOKUP(D18,Données!$E$36:$H$59,4,FALSE),)</f>
        <v>0</v>
      </c>
      <c r="AK18" s="477">
        <f t="shared" si="27"/>
        <v>0</v>
      </c>
      <c r="AL18" s="478">
        <f t="shared" si="28"/>
        <v>0</v>
      </c>
      <c r="AM18" s="479">
        <f t="shared" si="29"/>
        <v>0</v>
      </c>
      <c r="AN18" s="480">
        <f t="shared" si="11"/>
        <v>0</v>
      </c>
      <c r="AO18" s="477">
        <f t="shared" si="12"/>
        <v>0</v>
      </c>
      <c r="AP18" s="481">
        <f t="shared" si="30"/>
        <v>0</v>
      </c>
      <c r="AQ18" s="481">
        <f t="shared" si="31"/>
        <v>0</v>
      </c>
      <c r="AR18" s="481">
        <f t="shared" si="32"/>
        <v>0</v>
      </c>
      <c r="AS18" s="481">
        <f t="shared" si="33"/>
        <v>0</v>
      </c>
      <c r="AT18" s="479">
        <f t="shared" si="13"/>
        <v>0</v>
      </c>
      <c r="AU18" s="479">
        <f t="shared" si="14"/>
        <v>0</v>
      </c>
      <c r="AV18" s="471">
        <f>IF(Données!$H$8="x",AW18,AX18)</f>
        <v>2.8499999999999996</v>
      </c>
      <c r="AW18" s="471">
        <f t="shared" si="15"/>
        <v>1.4249999999999998</v>
      </c>
      <c r="AX18" s="471">
        <f t="shared" si="35"/>
        <v>2.8499999999999996</v>
      </c>
      <c r="AY18" s="467" t="str">
        <f t="shared" si="17"/>
        <v>Je</v>
      </c>
      <c r="AZ18" s="7">
        <f>IF((S40="M2.2")*AND(S41&lt;&gt;""),VLOOKUP(S41,Échelle!$AX$5:$AY$31,2),)</f>
        <v>0</v>
      </c>
      <c r="BA18" s="4" t="s">
        <v>11</v>
      </c>
      <c r="BB18" s="148"/>
    </row>
    <row r="19" spans="2:54" ht="13.5" customHeight="1" x14ac:dyDescent="0.2">
      <c r="B19" s="467" t="s">
        <v>182</v>
      </c>
      <c r="C19" s="468" t="s">
        <v>389</v>
      </c>
      <c r="D19" s="469"/>
      <c r="E19" s="469"/>
      <c r="F19" s="470"/>
      <c r="G19" s="470"/>
      <c r="H19" s="470"/>
      <c r="I19" s="470"/>
      <c r="J19" s="470"/>
      <c r="K19" s="470"/>
      <c r="L19" s="471">
        <f t="shared" si="1"/>
        <v>0</v>
      </c>
      <c r="M19" s="471">
        <f>M18+L19</f>
        <v>0</v>
      </c>
      <c r="N19" s="488">
        <f>IF(Avr!$H$47="x",AV19+Avr!$N$36,AV19)</f>
        <v>3.1666666666666661</v>
      </c>
      <c r="O19" s="483" t="str">
        <f t="shared" si="2"/>
        <v>-</v>
      </c>
      <c r="P19" s="473">
        <f>ABS(M19-N19-U4)</f>
        <v>3.1666666666666661</v>
      </c>
      <c r="Q19" s="474">
        <f t="shared" si="3"/>
        <v>0</v>
      </c>
      <c r="R19" s="474">
        <f t="shared" si="4"/>
        <v>0</v>
      </c>
      <c r="S19" s="474">
        <f t="shared" si="5"/>
        <v>0</v>
      </c>
      <c r="T19" s="474">
        <f t="shared" si="6"/>
        <v>0</v>
      </c>
      <c r="U19" s="471">
        <f t="shared" si="7"/>
        <v>0</v>
      </c>
      <c r="V19" s="471">
        <f t="shared" si="34"/>
        <v>0</v>
      </c>
      <c r="W19" s="471">
        <f t="shared" si="9"/>
        <v>0</v>
      </c>
      <c r="X19" s="471">
        <f t="shared" si="10"/>
        <v>0</v>
      </c>
      <c r="Y19" s="470"/>
      <c r="Z19" s="470"/>
      <c r="AA19" s="469"/>
      <c r="AB19" s="475">
        <f t="shared" si="19"/>
        <v>0</v>
      </c>
      <c r="AC19" s="475">
        <f t="shared" si="20"/>
        <v>0</v>
      </c>
      <c r="AD19" s="475">
        <f t="shared" si="21"/>
        <v>0</v>
      </c>
      <c r="AE19" s="475">
        <f t="shared" si="22"/>
        <v>0</v>
      </c>
      <c r="AF19" s="476">
        <f t="shared" si="23"/>
        <v>0</v>
      </c>
      <c r="AG19" s="475">
        <f t="shared" si="24"/>
        <v>0</v>
      </c>
      <c r="AH19" s="476">
        <f t="shared" si="25"/>
        <v>0</v>
      </c>
      <c r="AI19" s="475">
        <f t="shared" si="26"/>
        <v>0</v>
      </c>
      <c r="AJ19" s="477">
        <f>IF((D19&lt;&gt;""),VLOOKUP(D19,Données!$E$36:$H$59,4,FALSE),)</f>
        <v>0</v>
      </c>
      <c r="AK19" s="477">
        <f t="shared" si="27"/>
        <v>0</v>
      </c>
      <c r="AL19" s="478">
        <f t="shared" si="28"/>
        <v>0</v>
      </c>
      <c r="AM19" s="479">
        <f t="shared" si="29"/>
        <v>0</v>
      </c>
      <c r="AN19" s="480">
        <f t="shared" si="11"/>
        <v>0</v>
      </c>
      <c r="AO19" s="477">
        <f t="shared" si="12"/>
        <v>0</v>
      </c>
      <c r="AP19" s="481">
        <f t="shared" si="30"/>
        <v>0</v>
      </c>
      <c r="AQ19" s="481">
        <f t="shared" si="31"/>
        <v>0</v>
      </c>
      <c r="AR19" s="481">
        <f t="shared" si="32"/>
        <v>0</v>
      </c>
      <c r="AS19" s="481">
        <f t="shared" si="33"/>
        <v>0</v>
      </c>
      <c r="AT19" s="479">
        <f t="shared" si="13"/>
        <v>0</v>
      </c>
      <c r="AU19" s="479">
        <f t="shared" si="14"/>
        <v>0</v>
      </c>
      <c r="AV19" s="471">
        <f>IF(Données!$H$8="x",AW19,AX19)</f>
        <v>3.1666666666666661</v>
      </c>
      <c r="AW19" s="471">
        <f t="shared" si="15"/>
        <v>1.583333333333333</v>
      </c>
      <c r="AX19" s="471">
        <f t="shared" si="35"/>
        <v>3.1666666666666661</v>
      </c>
      <c r="AY19" s="467" t="str">
        <f t="shared" si="17"/>
        <v>Ve</v>
      </c>
      <c r="AZ19" s="7">
        <f>IF((S40="M3.1")*AND(S41&lt;&gt;""),VLOOKUP(S41,Échelle!$BA$5:$BB$31,2),)</f>
        <v>0</v>
      </c>
      <c r="BA19" s="4" t="s">
        <v>12</v>
      </c>
      <c r="BB19" s="148"/>
    </row>
    <row r="20" spans="2:54" ht="13.5" customHeight="1" x14ac:dyDescent="0.2">
      <c r="B20" s="403" t="s">
        <v>184</v>
      </c>
      <c r="C20" s="412" t="s">
        <v>390</v>
      </c>
      <c r="D20" s="411"/>
      <c r="E20" s="411"/>
      <c r="F20" s="401"/>
      <c r="G20" s="401"/>
      <c r="H20" s="401"/>
      <c r="I20" s="401"/>
      <c r="J20" s="401"/>
      <c r="K20" s="401"/>
      <c r="L20" s="402">
        <f>(G20-F20)+(I20-H20)+(K20-J20)</f>
        <v>0</v>
      </c>
      <c r="M20" s="402">
        <f>M19+L20</f>
        <v>0</v>
      </c>
      <c r="N20" s="407">
        <f>IF(Avr!$H$47="x",AV20+Avr!$N$36,AV20)</f>
        <v>3.1666666666666661</v>
      </c>
      <c r="O20" s="408" t="str">
        <f t="shared" si="2"/>
        <v>-</v>
      </c>
      <c r="P20" s="413">
        <f>ABS(M20-N20-U4)</f>
        <v>3.1666666666666661</v>
      </c>
      <c r="Q20" s="410">
        <f t="shared" si="3"/>
        <v>0</v>
      </c>
      <c r="R20" s="410">
        <f t="shared" si="4"/>
        <v>0</v>
      </c>
      <c r="S20" s="410">
        <f t="shared" si="5"/>
        <v>0</v>
      </c>
      <c r="T20" s="410">
        <f t="shared" si="6"/>
        <v>0</v>
      </c>
      <c r="U20" s="402">
        <f t="shared" si="7"/>
        <v>0</v>
      </c>
      <c r="V20" s="402">
        <f>L20</f>
        <v>0</v>
      </c>
      <c r="W20" s="402">
        <f t="shared" si="9"/>
        <v>0</v>
      </c>
      <c r="X20" s="402">
        <f t="shared" si="10"/>
        <v>0</v>
      </c>
      <c r="Y20" s="401"/>
      <c r="Z20" s="401"/>
      <c r="AA20" s="411"/>
      <c r="AB20" s="420">
        <f t="shared" si="19"/>
        <v>0</v>
      </c>
      <c r="AC20" s="420">
        <f t="shared" si="20"/>
        <v>0</v>
      </c>
      <c r="AD20" s="420">
        <f t="shared" si="21"/>
        <v>0</v>
      </c>
      <c r="AE20" s="420">
        <f t="shared" si="22"/>
        <v>0</v>
      </c>
      <c r="AF20" s="421">
        <f t="shared" si="23"/>
        <v>0</v>
      </c>
      <c r="AG20" s="420">
        <f t="shared" si="24"/>
        <v>0</v>
      </c>
      <c r="AH20" s="421">
        <f t="shared" si="25"/>
        <v>0</v>
      </c>
      <c r="AI20" s="420">
        <f t="shared" si="26"/>
        <v>0</v>
      </c>
      <c r="AJ20" s="422">
        <f>IF((D20&lt;&gt;""),VLOOKUP(D20,Données!$E$36:$H$59,4,FALSE),)</f>
        <v>0</v>
      </c>
      <c r="AK20" s="422">
        <f t="shared" si="27"/>
        <v>0</v>
      </c>
      <c r="AL20" s="423">
        <f t="shared" si="28"/>
        <v>0</v>
      </c>
      <c r="AM20" s="424">
        <f t="shared" si="29"/>
        <v>0</v>
      </c>
      <c r="AN20" s="425">
        <f t="shared" si="11"/>
        <v>0</v>
      </c>
      <c r="AO20" s="422">
        <f t="shared" si="12"/>
        <v>0</v>
      </c>
      <c r="AP20" s="426">
        <f t="shared" si="30"/>
        <v>0</v>
      </c>
      <c r="AQ20" s="426">
        <f t="shared" si="31"/>
        <v>0</v>
      </c>
      <c r="AR20" s="426">
        <f t="shared" si="32"/>
        <v>0</v>
      </c>
      <c r="AS20" s="426">
        <f t="shared" si="33"/>
        <v>0</v>
      </c>
      <c r="AT20" s="424">
        <f t="shared" si="13"/>
        <v>0</v>
      </c>
      <c r="AU20" s="424">
        <f t="shared" si="14"/>
        <v>0</v>
      </c>
      <c r="AV20" s="402">
        <f>IF(Données!$H$8="x",AW20,AX20)</f>
        <v>3.1666666666666661</v>
      </c>
      <c r="AW20" s="402">
        <f t="shared" si="15"/>
        <v>1.583333333333333</v>
      </c>
      <c r="AX20" s="402">
        <f>AX19</f>
        <v>3.1666666666666661</v>
      </c>
      <c r="AY20" s="403" t="str">
        <f t="shared" si="17"/>
        <v>Sa</v>
      </c>
      <c r="AZ20" s="423">
        <f>IF((S40="M3.2")*AND(S41&lt;&gt;""),VLOOKUP(S41,Échelle!$BD$5:$BE$31,2),)</f>
        <v>0</v>
      </c>
      <c r="BA20" s="424" t="s">
        <v>13</v>
      </c>
      <c r="BB20" s="148"/>
    </row>
    <row r="21" spans="2:54" x14ac:dyDescent="0.2">
      <c r="B21" s="403" t="s">
        <v>186</v>
      </c>
      <c r="C21" s="412" t="s">
        <v>391</v>
      </c>
      <c r="D21" s="411"/>
      <c r="E21" s="411"/>
      <c r="F21" s="401"/>
      <c r="G21" s="401"/>
      <c r="H21" s="401"/>
      <c r="I21" s="401"/>
      <c r="J21" s="401"/>
      <c r="K21" s="401"/>
      <c r="L21" s="402">
        <f>(G21-F21)+(I21-H21)+(K21-J21)</f>
        <v>0</v>
      </c>
      <c r="M21" s="402">
        <f t="shared" si="18"/>
        <v>0</v>
      </c>
      <c r="N21" s="407">
        <f>IF(Avr!$H$47="x",AV21+Avr!$N$36,AV21)</f>
        <v>3.1666666666666661</v>
      </c>
      <c r="O21" s="408" t="str">
        <f t="shared" si="2"/>
        <v>-</v>
      </c>
      <c r="P21" s="413">
        <f>ABS(M21-N21-U4)</f>
        <v>3.1666666666666661</v>
      </c>
      <c r="Q21" s="410">
        <f t="shared" si="3"/>
        <v>0</v>
      </c>
      <c r="R21" s="410">
        <f t="shared" si="4"/>
        <v>0</v>
      </c>
      <c r="S21" s="410">
        <f t="shared" si="5"/>
        <v>0</v>
      </c>
      <c r="T21" s="410">
        <f t="shared" si="6"/>
        <v>0</v>
      </c>
      <c r="U21" s="402">
        <f t="shared" si="7"/>
        <v>0</v>
      </c>
      <c r="V21" s="402">
        <f>L21</f>
        <v>0</v>
      </c>
      <c r="W21" s="402">
        <f t="shared" si="9"/>
        <v>0</v>
      </c>
      <c r="X21" s="402">
        <f t="shared" si="10"/>
        <v>0</v>
      </c>
      <c r="Y21" s="401"/>
      <c r="Z21" s="401"/>
      <c r="AA21" s="411"/>
      <c r="AB21" s="420">
        <f t="shared" si="19"/>
        <v>0</v>
      </c>
      <c r="AC21" s="420">
        <f t="shared" si="20"/>
        <v>0</v>
      </c>
      <c r="AD21" s="420">
        <f t="shared" si="21"/>
        <v>0</v>
      </c>
      <c r="AE21" s="420">
        <f t="shared" si="22"/>
        <v>0</v>
      </c>
      <c r="AF21" s="421">
        <f t="shared" si="23"/>
        <v>0</v>
      </c>
      <c r="AG21" s="420">
        <f t="shared" si="24"/>
        <v>0</v>
      </c>
      <c r="AH21" s="421">
        <f t="shared" si="25"/>
        <v>0</v>
      </c>
      <c r="AI21" s="420">
        <f t="shared" si="26"/>
        <v>0</v>
      </c>
      <c r="AJ21" s="422">
        <f>IF((D21&lt;&gt;""),VLOOKUP(D21,Données!$E$36:$H$59,4,FALSE),)</f>
        <v>0</v>
      </c>
      <c r="AK21" s="422">
        <f t="shared" si="27"/>
        <v>0</v>
      </c>
      <c r="AL21" s="423">
        <f t="shared" si="28"/>
        <v>0</v>
      </c>
      <c r="AM21" s="424">
        <f t="shared" si="29"/>
        <v>0</v>
      </c>
      <c r="AN21" s="425">
        <f t="shared" si="11"/>
        <v>0</v>
      </c>
      <c r="AO21" s="422">
        <f t="shared" si="12"/>
        <v>0</v>
      </c>
      <c r="AP21" s="426">
        <f t="shared" si="30"/>
        <v>0</v>
      </c>
      <c r="AQ21" s="426">
        <f t="shared" si="31"/>
        <v>0</v>
      </c>
      <c r="AR21" s="426">
        <f t="shared" si="32"/>
        <v>0</v>
      </c>
      <c r="AS21" s="426">
        <f t="shared" si="33"/>
        <v>0</v>
      </c>
      <c r="AT21" s="424">
        <f t="shared" si="13"/>
        <v>0</v>
      </c>
      <c r="AU21" s="424">
        <f t="shared" si="14"/>
        <v>0</v>
      </c>
      <c r="AV21" s="402">
        <f>IF(Données!$H$8="x",AW21,AX21)</f>
        <v>3.1666666666666661</v>
      </c>
      <c r="AW21" s="402">
        <f t="shared" si="15"/>
        <v>1.583333333333333</v>
      </c>
      <c r="AX21" s="402">
        <f>AX20</f>
        <v>3.1666666666666661</v>
      </c>
      <c r="AY21" s="403" t="str">
        <f t="shared" si="17"/>
        <v>Di</v>
      </c>
      <c r="AZ21" s="423">
        <f>IF((S40="M4.1")*AND(S41&lt;&gt;""),VLOOKUP(S41,Échelle!$BJ$39:$BK$68,2),)</f>
        <v>0</v>
      </c>
      <c r="BA21" s="424" t="s">
        <v>14</v>
      </c>
      <c r="BB21" s="148"/>
    </row>
    <row r="22" spans="2:54" x14ac:dyDescent="0.2">
      <c r="B22" s="467" t="s">
        <v>188</v>
      </c>
      <c r="C22" s="468" t="s">
        <v>392</v>
      </c>
      <c r="D22" s="469"/>
      <c r="E22" s="469"/>
      <c r="F22" s="470"/>
      <c r="G22" s="470"/>
      <c r="H22" s="470"/>
      <c r="I22" s="470"/>
      <c r="J22" s="470"/>
      <c r="K22" s="470"/>
      <c r="L22" s="471">
        <f t="shared" si="1"/>
        <v>0</v>
      </c>
      <c r="M22" s="471">
        <f t="shared" si="18"/>
        <v>0</v>
      </c>
      <c r="N22" s="488">
        <f>IF(Avr!$H$47="x",AV22+Avr!$N$36,AV22)</f>
        <v>3.4833333333333325</v>
      </c>
      <c r="O22" s="483" t="str">
        <f t="shared" si="2"/>
        <v>-</v>
      </c>
      <c r="P22" s="473">
        <f>ABS(M22-N22-U4)</f>
        <v>3.4833333333333325</v>
      </c>
      <c r="Q22" s="474">
        <f t="shared" si="3"/>
        <v>0</v>
      </c>
      <c r="R22" s="474">
        <f t="shared" si="4"/>
        <v>0</v>
      </c>
      <c r="S22" s="474">
        <f t="shared" si="5"/>
        <v>0</v>
      </c>
      <c r="T22" s="474">
        <f t="shared" si="6"/>
        <v>0</v>
      </c>
      <c r="U22" s="471">
        <f t="shared" si="7"/>
        <v>0</v>
      </c>
      <c r="V22" s="471">
        <f t="shared" ref="V22:V26" si="36">IF(D22="F",L22,0)</f>
        <v>0</v>
      </c>
      <c r="W22" s="471">
        <f t="shared" si="9"/>
        <v>0</v>
      </c>
      <c r="X22" s="471">
        <f t="shared" si="10"/>
        <v>0</v>
      </c>
      <c r="Y22" s="470"/>
      <c r="Z22" s="470"/>
      <c r="AA22" s="469"/>
      <c r="AB22" s="475">
        <f t="shared" si="19"/>
        <v>0</v>
      </c>
      <c r="AC22" s="475">
        <f t="shared" si="20"/>
        <v>0</v>
      </c>
      <c r="AD22" s="475">
        <f t="shared" si="21"/>
        <v>0</v>
      </c>
      <c r="AE22" s="475">
        <f t="shared" si="22"/>
        <v>0</v>
      </c>
      <c r="AF22" s="476">
        <f t="shared" si="23"/>
        <v>0</v>
      </c>
      <c r="AG22" s="475">
        <f t="shared" si="24"/>
        <v>0</v>
      </c>
      <c r="AH22" s="476">
        <f t="shared" si="25"/>
        <v>0</v>
      </c>
      <c r="AI22" s="475">
        <f t="shared" si="26"/>
        <v>0</v>
      </c>
      <c r="AJ22" s="477">
        <f>IF((D22&lt;&gt;""),VLOOKUP(D22,Données!$E$36:$H$59,4,FALSE),)</f>
        <v>0</v>
      </c>
      <c r="AK22" s="477">
        <f t="shared" si="27"/>
        <v>0</v>
      </c>
      <c r="AL22" s="478">
        <f t="shared" si="28"/>
        <v>0</v>
      </c>
      <c r="AM22" s="479">
        <f t="shared" si="29"/>
        <v>0</v>
      </c>
      <c r="AN22" s="480">
        <f t="shared" si="11"/>
        <v>0</v>
      </c>
      <c r="AO22" s="477">
        <f t="shared" si="12"/>
        <v>0</v>
      </c>
      <c r="AP22" s="481">
        <f t="shared" si="30"/>
        <v>0</v>
      </c>
      <c r="AQ22" s="481">
        <f t="shared" si="31"/>
        <v>0</v>
      </c>
      <c r="AR22" s="481">
        <f t="shared" si="32"/>
        <v>0</v>
      </c>
      <c r="AS22" s="481">
        <f t="shared" si="33"/>
        <v>0</v>
      </c>
      <c r="AT22" s="479">
        <f t="shared" si="13"/>
        <v>0</v>
      </c>
      <c r="AU22" s="479">
        <f t="shared" si="14"/>
        <v>0</v>
      </c>
      <c r="AV22" s="471">
        <f>IF(Données!$H$8="x",AW22,AX22)</f>
        <v>3.4833333333333325</v>
      </c>
      <c r="AW22" s="471">
        <f t="shared" si="15"/>
        <v>1.7416666666666663</v>
      </c>
      <c r="AX22" s="471">
        <f t="shared" ref="AX22:AX26" si="37">IF(D22="L",AX21,(AX21+"07:36"))</f>
        <v>3.4833333333333325</v>
      </c>
      <c r="AY22" s="467" t="str">
        <f t="shared" si="17"/>
        <v>Lu</v>
      </c>
      <c r="AZ22" s="7">
        <f>IF((S40="M4.2")*AND(S41&lt;&gt;""),VLOOKUP(S41,Échelle!$BJ$5:$BK$31,2),)</f>
        <v>0</v>
      </c>
      <c r="BA22" s="4" t="s">
        <v>15</v>
      </c>
      <c r="BB22" s="148"/>
    </row>
    <row r="23" spans="2:54" x14ac:dyDescent="0.2">
      <c r="B23" s="467" t="s">
        <v>176</v>
      </c>
      <c r="C23" s="468" t="s">
        <v>393</v>
      </c>
      <c r="D23" s="469"/>
      <c r="E23" s="469"/>
      <c r="F23" s="470"/>
      <c r="G23" s="470"/>
      <c r="H23" s="470"/>
      <c r="I23" s="470"/>
      <c r="J23" s="470"/>
      <c r="K23" s="470"/>
      <c r="L23" s="471">
        <f t="shared" si="1"/>
        <v>0</v>
      </c>
      <c r="M23" s="471">
        <f t="shared" si="18"/>
        <v>0</v>
      </c>
      <c r="N23" s="488">
        <f>IF(Avr!$H$47="x",AV23+Avr!$N$36,AV23)</f>
        <v>3.7999999999999989</v>
      </c>
      <c r="O23" s="483" t="str">
        <f t="shared" si="2"/>
        <v>-</v>
      </c>
      <c r="P23" s="473">
        <f>ABS(M23-N23-U4)</f>
        <v>3.7999999999999989</v>
      </c>
      <c r="Q23" s="474">
        <f t="shared" si="3"/>
        <v>0</v>
      </c>
      <c r="R23" s="474">
        <f t="shared" si="4"/>
        <v>0</v>
      </c>
      <c r="S23" s="474">
        <f t="shared" si="5"/>
        <v>0</v>
      </c>
      <c r="T23" s="474">
        <f t="shared" si="6"/>
        <v>0</v>
      </c>
      <c r="U23" s="471">
        <f t="shared" si="7"/>
        <v>0</v>
      </c>
      <c r="V23" s="471">
        <f t="shared" si="36"/>
        <v>0</v>
      </c>
      <c r="W23" s="471">
        <f t="shared" si="9"/>
        <v>0</v>
      </c>
      <c r="X23" s="471">
        <f t="shared" si="10"/>
        <v>0</v>
      </c>
      <c r="Y23" s="470"/>
      <c r="Z23" s="470"/>
      <c r="AA23" s="469"/>
      <c r="AB23" s="475">
        <f t="shared" si="19"/>
        <v>0</v>
      </c>
      <c r="AC23" s="475">
        <f t="shared" si="20"/>
        <v>0</v>
      </c>
      <c r="AD23" s="475">
        <f t="shared" si="21"/>
        <v>0</v>
      </c>
      <c r="AE23" s="475">
        <f t="shared" si="22"/>
        <v>0</v>
      </c>
      <c r="AF23" s="476">
        <f t="shared" si="23"/>
        <v>0</v>
      </c>
      <c r="AG23" s="475">
        <f t="shared" si="24"/>
        <v>0</v>
      </c>
      <c r="AH23" s="476">
        <f t="shared" si="25"/>
        <v>0</v>
      </c>
      <c r="AI23" s="475">
        <f t="shared" si="26"/>
        <v>0</v>
      </c>
      <c r="AJ23" s="477">
        <f>IF((D23&lt;&gt;""),VLOOKUP(D23,Données!$E$36:$H$59,4,FALSE),)</f>
        <v>0</v>
      </c>
      <c r="AK23" s="477">
        <f t="shared" si="27"/>
        <v>0</v>
      </c>
      <c r="AL23" s="478">
        <f t="shared" si="28"/>
        <v>0</v>
      </c>
      <c r="AM23" s="479">
        <f t="shared" si="29"/>
        <v>0</v>
      </c>
      <c r="AN23" s="480">
        <f t="shared" si="11"/>
        <v>0</v>
      </c>
      <c r="AO23" s="477">
        <f t="shared" si="12"/>
        <v>0</v>
      </c>
      <c r="AP23" s="481">
        <f t="shared" si="30"/>
        <v>0</v>
      </c>
      <c r="AQ23" s="481">
        <f t="shared" si="31"/>
        <v>0</v>
      </c>
      <c r="AR23" s="481">
        <f t="shared" si="32"/>
        <v>0</v>
      </c>
      <c r="AS23" s="481">
        <f t="shared" si="33"/>
        <v>0</v>
      </c>
      <c r="AT23" s="479">
        <f t="shared" si="13"/>
        <v>0</v>
      </c>
      <c r="AU23" s="479">
        <f t="shared" si="14"/>
        <v>0</v>
      </c>
      <c r="AV23" s="471">
        <f>IF(Données!$H$8="x",AW23,AX23)</f>
        <v>3.7999999999999989</v>
      </c>
      <c r="AW23" s="471">
        <f t="shared" si="15"/>
        <v>1.8999999999999995</v>
      </c>
      <c r="AX23" s="471">
        <f t="shared" si="37"/>
        <v>3.7999999999999989</v>
      </c>
      <c r="AY23" s="467" t="str">
        <f t="shared" si="17"/>
        <v>Ma</v>
      </c>
      <c r="AZ23" s="7">
        <f>IF((S40="M5.1")*AND(S41&lt;&gt;""),VLOOKUP(S41,Échelle!$BM$5:$BN$31,2),)</f>
        <v>0</v>
      </c>
      <c r="BA23" s="4" t="s">
        <v>16</v>
      </c>
      <c r="BB23" s="148"/>
    </row>
    <row r="24" spans="2:54" x14ac:dyDescent="0.2">
      <c r="B24" s="491" t="s">
        <v>178</v>
      </c>
      <c r="C24" s="468" t="s">
        <v>394</v>
      </c>
      <c r="D24" s="469"/>
      <c r="E24" s="469"/>
      <c r="F24" s="470"/>
      <c r="G24" s="470"/>
      <c r="H24" s="470"/>
      <c r="I24" s="470"/>
      <c r="J24" s="470"/>
      <c r="K24" s="470"/>
      <c r="L24" s="471">
        <f t="shared" si="1"/>
        <v>0</v>
      </c>
      <c r="M24" s="471">
        <f t="shared" si="18"/>
        <v>0</v>
      </c>
      <c r="N24" s="488">
        <f>IF(Avr!$H$47="x",AV24+Avr!$N$36,AV24)</f>
        <v>4.1166666666666654</v>
      </c>
      <c r="O24" s="483" t="str">
        <f t="shared" si="2"/>
        <v>-</v>
      </c>
      <c r="P24" s="473">
        <f>ABS(M24-N24-U4)</f>
        <v>4.1166666666666654</v>
      </c>
      <c r="Q24" s="474">
        <f t="shared" si="3"/>
        <v>0</v>
      </c>
      <c r="R24" s="474">
        <f t="shared" si="4"/>
        <v>0</v>
      </c>
      <c r="S24" s="474">
        <f t="shared" si="5"/>
        <v>0</v>
      </c>
      <c r="T24" s="474">
        <f t="shared" si="6"/>
        <v>0</v>
      </c>
      <c r="U24" s="471">
        <f t="shared" si="7"/>
        <v>0</v>
      </c>
      <c r="V24" s="471">
        <f t="shared" si="36"/>
        <v>0</v>
      </c>
      <c r="W24" s="471">
        <f t="shared" si="9"/>
        <v>0</v>
      </c>
      <c r="X24" s="471">
        <f t="shared" si="10"/>
        <v>0</v>
      </c>
      <c r="Y24" s="470"/>
      <c r="Z24" s="470"/>
      <c r="AA24" s="469"/>
      <c r="AB24" s="475">
        <f t="shared" si="19"/>
        <v>0</v>
      </c>
      <c r="AC24" s="475">
        <f t="shared" si="20"/>
        <v>0</v>
      </c>
      <c r="AD24" s="475">
        <f t="shared" si="21"/>
        <v>0</v>
      </c>
      <c r="AE24" s="475">
        <f t="shared" si="22"/>
        <v>0</v>
      </c>
      <c r="AF24" s="476">
        <f t="shared" si="23"/>
        <v>0</v>
      </c>
      <c r="AG24" s="475">
        <f t="shared" si="24"/>
        <v>0</v>
      </c>
      <c r="AH24" s="476">
        <f t="shared" si="25"/>
        <v>0</v>
      </c>
      <c r="AI24" s="475">
        <f t="shared" si="26"/>
        <v>0</v>
      </c>
      <c r="AJ24" s="477">
        <f>IF((D24&lt;&gt;""),VLOOKUP(D24,Données!$E$36:$H$59,4,FALSE),)</f>
        <v>0</v>
      </c>
      <c r="AK24" s="477">
        <f t="shared" si="27"/>
        <v>0</v>
      </c>
      <c r="AL24" s="478">
        <f t="shared" si="28"/>
        <v>0</v>
      </c>
      <c r="AM24" s="479">
        <f t="shared" si="29"/>
        <v>0</v>
      </c>
      <c r="AN24" s="480">
        <f t="shared" si="11"/>
        <v>0</v>
      </c>
      <c r="AO24" s="477">
        <f t="shared" si="12"/>
        <v>0</v>
      </c>
      <c r="AP24" s="481">
        <f t="shared" si="30"/>
        <v>0</v>
      </c>
      <c r="AQ24" s="481">
        <f t="shared" si="31"/>
        <v>0</v>
      </c>
      <c r="AR24" s="481">
        <f t="shared" si="32"/>
        <v>0</v>
      </c>
      <c r="AS24" s="481">
        <f t="shared" si="33"/>
        <v>0</v>
      </c>
      <c r="AT24" s="479">
        <f t="shared" si="13"/>
        <v>0</v>
      </c>
      <c r="AU24" s="479">
        <f t="shared" si="14"/>
        <v>0</v>
      </c>
      <c r="AV24" s="471">
        <f>IF(Données!$H$8="x",AW24,AX24)</f>
        <v>4.1166666666666654</v>
      </c>
      <c r="AW24" s="471">
        <f t="shared" si="15"/>
        <v>2.0583333333333327</v>
      </c>
      <c r="AX24" s="471">
        <f t="shared" si="37"/>
        <v>4.1166666666666654</v>
      </c>
      <c r="AY24" s="467" t="str">
        <f t="shared" si="17"/>
        <v>Me</v>
      </c>
      <c r="AZ24" s="7">
        <f>IF((S40="M5.2")*AND(S41&lt;&gt;""),VLOOKUP(S41,Échelle!$BP$5:$BQ$31,2),)</f>
        <v>0</v>
      </c>
      <c r="BA24" s="4" t="s">
        <v>17</v>
      </c>
      <c r="BB24" s="148"/>
    </row>
    <row r="25" spans="2:54" x14ac:dyDescent="0.2">
      <c r="B25" s="467" t="s">
        <v>180</v>
      </c>
      <c r="C25" s="468" t="s">
        <v>395</v>
      </c>
      <c r="D25" s="469"/>
      <c r="E25" s="469"/>
      <c r="F25" s="470"/>
      <c r="G25" s="470"/>
      <c r="H25" s="470"/>
      <c r="I25" s="470"/>
      <c r="J25" s="470"/>
      <c r="K25" s="470"/>
      <c r="L25" s="471">
        <f t="shared" si="1"/>
        <v>0</v>
      </c>
      <c r="M25" s="471">
        <f t="shared" si="18"/>
        <v>0</v>
      </c>
      <c r="N25" s="488">
        <f>IF(Avr!$H$47="x",AV25+Avr!$N$36,AV25)</f>
        <v>4.4333333333333318</v>
      </c>
      <c r="O25" s="483" t="str">
        <f t="shared" si="2"/>
        <v>-</v>
      </c>
      <c r="P25" s="473">
        <f>ABS(M25-N25-U4)</f>
        <v>4.4333333333333318</v>
      </c>
      <c r="Q25" s="474">
        <f t="shared" si="3"/>
        <v>0</v>
      </c>
      <c r="R25" s="474">
        <f t="shared" si="4"/>
        <v>0</v>
      </c>
      <c r="S25" s="474">
        <f t="shared" si="5"/>
        <v>0</v>
      </c>
      <c r="T25" s="474">
        <f t="shared" si="6"/>
        <v>0</v>
      </c>
      <c r="U25" s="471">
        <f t="shared" si="7"/>
        <v>0</v>
      </c>
      <c r="V25" s="471">
        <f t="shared" si="36"/>
        <v>0</v>
      </c>
      <c r="W25" s="471">
        <f t="shared" si="9"/>
        <v>0</v>
      </c>
      <c r="X25" s="471">
        <f t="shared" si="10"/>
        <v>0</v>
      </c>
      <c r="Y25" s="470"/>
      <c r="Z25" s="470"/>
      <c r="AA25" s="469"/>
      <c r="AB25" s="475">
        <f t="shared" si="19"/>
        <v>0</v>
      </c>
      <c r="AC25" s="475">
        <f t="shared" si="20"/>
        <v>0</v>
      </c>
      <c r="AD25" s="475">
        <f t="shared" si="21"/>
        <v>0</v>
      </c>
      <c r="AE25" s="475">
        <f t="shared" si="22"/>
        <v>0</v>
      </c>
      <c r="AF25" s="476">
        <f t="shared" si="23"/>
        <v>0</v>
      </c>
      <c r="AG25" s="475">
        <f t="shared" si="24"/>
        <v>0</v>
      </c>
      <c r="AH25" s="476">
        <f t="shared" si="25"/>
        <v>0</v>
      </c>
      <c r="AI25" s="475">
        <f t="shared" si="26"/>
        <v>0</v>
      </c>
      <c r="AJ25" s="477">
        <f>IF((D25&lt;&gt;""),VLOOKUP(D25,Données!$E$36:$H$59,4,FALSE),)</f>
        <v>0</v>
      </c>
      <c r="AK25" s="477">
        <f t="shared" si="27"/>
        <v>0</v>
      </c>
      <c r="AL25" s="478">
        <f t="shared" si="28"/>
        <v>0</v>
      </c>
      <c r="AM25" s="479">
        <f t="shared" si="29"/>
        <v>0</v>
      </c>
      <c r="AN25" s="480">
        <f t="shared" si="11"/>
        <v>0</v>
      </c>
      <c r="AO25" s="477">
        <f t="shared" si="12"/>
        <v>0</v>
      </c>
      <c r="AP25" s="481">
        <f t="shared" si="30"/>
        <v>0</v>
      </c>
      <c r="AQ25" s="481">
        <f t="shared" si="31"/>
        <v>0</v>
      </c>
      <c r="AR25" s="481">
        <f t="shared" si="32"/>
        <v>0</v>
      </c>
      <c r="AS25" s="481">
        <f t="shared" si="33"/>
        <v>0</v>
      </c>
      <c r="AT25" s="479">
        <f t="shared" si="13"/>
        <v>0</v>
      </c>
      <c r="AU25" s="479">
        <f t="shared" si="14"/>
        <v>0</v>
      </c>
      <c r="AV25" s="471">
        <f>IF(Données!$H$8="x",AW25,AX25)</f>
        <v>4.4333333333333318</v>
      </c>
      <c r="AW25" s="471">
        <f t="shared" si="15"/>
        <v>2.2166666666666659</v>
      </c>
      <c r="AX25" s="471">
        <f t="shared" si="37"/>
        <v>4.4333333333333318</v>
      </c>
      <c r="AY25" s="467" t="str">
        <f t="shared" si="17"/>
        <v>Je</v>
      </c>
      <c r="AZ25" s="7">
        <f>IF((S40="M6")*AND(S41&lt;&gt;""),VLOOKUP(S41,Échelle!$BS$5:$BT$31,2),)</f>
        <v>0</v>
      </c>
      <c r="BA25" s="4" t="s">
        <v>18</v>
      </c>
      <c r="BB25" s="148"/>
    </row>
    <row r="26" spans="2:54" ht="13.5" customHeight="1" x14ac:dyDescent="0.2">
      <c r="B26" s="467" t="s">
        <v>182</v>
      </c>
      <c r="C26" s="468" t="s">
        <v>396</v>
      </c>
      <c r="D26" s="469"/>
      <c r="E26" s="469"/>
      <c r="F26" s="470"/>
      <c r="G26" s="470"/>
      <c r="H26" s="470"/>
      <c r="I26" s="470"/>
      <c r="J26" s="470"/>
      <c r="K26" s="470"/>
      <c r="L26" s="471">
        <f t="shared" si="1"/>
        <v>0</v>
      </c>
      <c r="M26" s="471">
        <f>M25+L26</f>
        <v>0</v>
      </c>
      <c r="N26" s="488">
        <f>IF(Avr!$H$47="x",AV26+Avr!$N$36,AV26)</f>
        <v>4.7499999999999982</v>
      </c>
      <c r="O26" s="483" t="str">
        <f t="shared" si="2"/>
        <v>-</v>
      </c>
      <c r="P26" s="473">
        <f>ABS(M26-N26-U4)</f>
        <v>4.7499999999999982</v>
      </c>
      <c r="Q26" s="474">
        <f t="shared" si="3"/>
        <v>0</v>
      </c>
      <c r="R26" s="474">
        <f t="shared" si="4"/>
        <v>0</v>
      </c>
      <c r="S26" s="474">
        <f t="shared" si="5"/>
        <v>0</v>
      </c>
      <c r="T26" s="474">
        <f t="shared" si="6"/>
        <v>0</v>
      </c>
      <c r="U26" s="471">
        <f t="shared" si="7"/>
        <v>0</v>
      </c>
      <c r="V26" s="471">
        <f t="shared" si="36"/>
        <v>0</v>
      </c>
      <c r="W26" s="471">
        <f t="shared" si="9"/>
        <v>0</v>
      </c>
      <c r="X26" s="471">
        <f t="shared" si="10"/>
        <v>0</v>
      </c>
      <c r="Y26" s="470"/>
      <c r="Z26" s="470"/>
      <c r="AA26" s="469"/>
      <c r="AB26" s="475">
        <f t="shared" si="19"/>
        <v>0</v>
      </c>
      <c r="AC26" s="475">
        <f t="shared" si="20"/>
        <v>0</v>
      </c>
      <c r="AD26" s="475">
        <f t="shared" si="21"/>
        <v>0</v>
      </c>
      <c r="AE26" s="475">
        <f t="shared" si="22"/>
        <v>0</v>
      </c>
      <c r="AF26" s="476">
        <f t="shared" si="23"/>
        <v>0</v>
      </c>
      <c r="AG26" s="475">
        <f t="shared" si="24"/>
        <v>0</v>
      </c>
      <c r="AH26" s="476">
        <f t="shared" si="25"/>
        <v>0</v>
      </c>
      <c r="AI26" s="475">
        <f t="shared" si="26"/>
        <v>0</v>
      </c>
      <c r="AJ26" s="477">
        <f>IF((D26&lt;&gt;""),VLOOKUP(D26,Données!$E$36:$H$59,4,FALSE),)</f>
        <v>0</v>
      </c>
      <c r="AK26" s="477">
        <f t="shared" si="27"/>
        <v>0</v>
      </c>
      <c r="AL26" s="478">
        <f t="shared" si="28"/>
        <v>0</v>
      </c>
      <c r="AM26" s="479">
        <f t="shared" si="29"/>
        <v>0</v>
      </c>
      <c r="AN26" s="480">
        <f t="shared" si="11"/>
        <v>0</v>
      </c>
      <c r="AO26" s="477">
        <f t="shared" si="12"/>
        <v>0</v>
      </c>
      <c r="AP26" s="481">
        <f t="shared" si="30"/>
        <v>0</v>
      </c>
      <c r="AQ26" s="481">
        <f t="shared" si="31"/>
        <v>0</v>
      </c>
      <c r="AR26" s="481">
        <f t="shared" si="32"/>
        <v>0</v>
      </c>
      <c r="AS26" s="481">
        <f t="shared" si="33"/>
        <v>0</v>
      </c>
      <c r="AT26" s="479">
        <f t="shared" si="13"/>
        <v>0</v>
      </c>
      <c r="AU26" s="479">
        <f t="shared" si="14"/>
        <v>0</v>
      </c>
      <c r="AV26" s="471">
        <f>IF(Données!$H$8="x",AW26,AX26)</f>
        <v>4.7499999999999982</v>
      </c>
      <c r="AW26" s="471">
        <f t="shared" si="15"/>
        <v>2.3749999999999991</v>
      </c>
      <c r="AX26" s="471">
        <f t="shared" si="37"/>
        <v>4.7499999999999982</v>
      </c>
      <c r="AY26" s="467" t="str">
        <f t="shared" si="17"/>
        <v>Ve</v>
      </c>
      <c r="AZ26" s="7">
        <f>IF((S40="M7")*AND(S41&lt;&gt;""),VLOOKUP(S41,Échelle!$BV$5:$BW$31,2),)</f>
        <v>0</v>
      </c>
      <c r="BA26" s="4" t="s">
        <v>19</v>
      </c>
      <c r="BB26" s="148"/>
    </row>
    <row r="27" spans="2:54" ht="13.5" customHeight="1" x14ac:dyDescent="0.2">
      <c r="B27" s="403" t="s">
        <v>184</v>
      </c>
      <c r="C27" s="412" t="s">
        <v>397</v>
      </c>
      <c r="D27" s="411"/>
      <c r="E27" s="411"/>
      <c r="F27" s="401"/>
      <c r="G27" s="401"/>
      <c r="H27" s="401"/>
      <c r="I27" s="401"/>
      <c r="J27" s="401"/>
      <c r="K27" s="401"/>
      <c r="L27" s="402">
        <f>(G27-F27)+(I27-H27)+(K27-J27)</f>
        <v>0</v>
      </c>
      <c r="M27" s="402">
        <f>M26+L27</f>
        <v>0</v>
      </c>
      <c r="N27" s="407">
        <f>IF(Avr!$H$47="x",AV27+Avr!$N$36,AV27)</f>
        <v>4.7499999999999982</v>
      </c>
      <c r="O27" s="408" t="str">
        <f t="shared" si="2"/>
        <v>-</v>
      </c>
      <c r="P27" s="413">
        <f>ABS(M27-N27-U4)</f>
        <v>4.7499999999999982</v>
      </c>
      <c r="Q27" s="410">
        <f t="shared" si="3"/>
        <v>0</v>
      </c>
      <c r="R27" s="410">
        <f t="shared" si="4"/>
        <v>0</v>
      </c>
      <c r="S27" s="410">
        <f t="shared" si="5"/>
        <v>0</v>
      </c>
      <c r="T27" s="410">
        <f t="shared" si="6"/>
        <v>0</v>
      </c>
      <c r="U27" s="402">
        <f t="shared" si="7"/>
        <v>0</v>
      </c>
      <c r="V27" s="402">
        <f>L27</f>
        <v>0</v>
      </c>
      <c r="W27" s="402">
        <f t="shared" si="9"/>
        <v>0</v>
      </c>
      <c r="X27" s="402">
        <f t="shared" si="10"/>
        <v>0</v>
      </c>
      <c r="Y27" s="401"/>
      <c r="Z27" s="401"/>
      <c r="AA27" s="411"/>
      <c r="AB27" s="420">
        <f t="shared" si="19"/>
        <v>0</v>
      </c>
      <c r="AC27" s="420">
        <f t="shared" si="20"/>
        <v>0</v>
      </c>
      <c r="AD27" s="420">
        <f t="shared" si="21"/>
        <v>0</v>
      </c>
      <c r="AE27" s="420">
        <f t="shared" si="22"/>
        <v>0</v>
      </c>
      <c r="AF27" s="421">
        <f t="shared" si="23"/>
        <v>0</v>
      </c>
      <c r="AG27" s="420">
        <f t="shared" si="24"/>
        <v>0</v>
      </c>
      <c r="AH27" s="421">
        <f t="shared" si="25"/>
        <v>0</v>
      </c>
      <c r="AI27" s="420">
        <f t="shared" si="26"/>
        <v>0</v>
      </c>
      <c r="AJ27" s="422">
        <f>IF((D27&lt;&gt;""),VLOOKUP(D27,Données!$E$36:$H$59,4,FALSE),)</f>
        <v>0</v>
      </c>
      <c r="AK27" s="422">
        <f t="shared" si="27"/>
        <v>0</v>
      </c>
      <c r="AL27" s="423">
        <f t="shared" si="28"/>
        <v>0</v>
      </c>
      <c r="AM27" s="424">
        <f t="shared" si="29"/>
        <v>0</v>
      </c>
      <c r="AN27" s="425">
        <f t="shared" si="11"/>
        <v>0</v>
      </c>
      <c r="AO27" s="422">
        <f t="shared" si="12"/>
        <v>0</v>
      </c>
      <c r="AP27" s="426">
        <f t="shared" si="30"/>
        <v>0</v>
      </c>
      <c r="AQ27" s="426">
        <f t="shared" si="31"/>
        <v>0</v>
      </c>
      <c r="AR27" s="426">
        <f t="shared" si="32"/>
        <v>0</v>
      </c>
      <c r="AS27" s="426">
        <f t="shared" si="33"/>
        <v>0</v>
      </c>
      <c r="AT27" s="424">
        <f t="shared" si="13"/>
        <v>0</v>
      </c>
      <c r="AU27" s="424">
        <f t="shared" si="14"/>
        <v>0</v>
      </c>
      <c r="AV27" s="402">
        <f>IF(Données!$H$8="x",AW27,AX27)</f>
        <v>4.7499999999999982</v>
      </c>
      <c r="AW27" s="402">
        <f t="shared" si="15"/>
        <v>2.3749999999999991</v>
      </c>
      <c r="AX27" s="402">
        <f>AX26</f>
        <v>4.7499999999999982</v>
      </c>
      <c r="AY27" s="403" t="str">
        <f t="shared" si="17"/>
        <v>Sa</v>
      </c>
      <c r="AZ27" s="423">
        <f>IF((S40="M7bis")*AND(S41&lt;&gt;""),VLOOKUP(S41,Échelle!$BY$5:$BZ$31,2),)</f>
        <v>0</v>
      </c>
      <c r="BA27" s="424" t="s">
        <v>20</v>
      </c>
      <c r="BB27" s="148"/>
    </row>
    <row r="28" spans="2:54" x14ac:dyDescent="0.2">
      <c r="B28" s="403" t="s">
        <v>186</v>
      </c>
      <c r="C28" s="412" t="s">
        <v>398</v>
      </c>
      <c r="D28" s="411"/>
      <c r="E28" s="411"/>
      <c r="F28" s="401"/>
      <c r="G28" s="401"/>
      <c r="H28" s="401"/>
      <c r="I28" s="401"/>
      <c r="J28" s="401"/>
      <c r="K28" s="401"/>
      <c r="L28" s="402">
        <f>(G28-F28)+(I28-H28)+(K28-J28)</f>
        <v>0</v>
      </c>
      <c r="M28" s="402">
        <f t="shared" si="18"/>
        <v>0</v>
      </c>
      <c r="N28" s="407">
        <f>IF(Avr!$H$47="x",AV28+Avr!$N$36,AV28)</f>
        <v>4.7499999999999982</v>
      </c>
      <c r="O28" s="408" t="str">
        <f t="shared" si="2"/>
        <v>-</v>
      </c>
      <c r="P28" s="413">
        <f>ABS(M28-N28-U4)</f>
        <v>4.7499999999999982</v>
      </c>
      <c r="Q28" s="410">
        <f t="shared" si="3"/>
        <v>0</v>
      </c>
      <c r="R28" s="410">
        <f t="shared" si="4"/>
        <v>0</v>
      </c>
      <c r="S28" s="410">
        <f t="shared" si="5"/>
        <v>0</v>
      </c>
      <c r="T28" s="410">
        <f t="shared" si="6"/>
        <v>0</v>
      </c>
      <c r="U28" s="402">
        <f t="shared" si="7"/>
        <v>0</v>
      </c>
      <c r="V28" s="402">
        <f>L28</f>
        <v>0</v>
      </c>
      <c r="W28" s="402">
        <f t="shared" si="9"/>
        <v>0</v>
      </c>
      <c r="X28" s="402">
        <f t="shared" si="10"/>
        <v>0</v>
      </c>
      <c r="Y28" s="401"/>
      <c r="Z28" s="401"/>
      <c r="AA28" s="411"/>
      <c r="AB28" s="420">
        <f t="shared" si="19"/>
        <v>0</v>
      </c>
      <c r="AC28" s="420">
        <f t="shared" si="20"/>
        <v>0</v>
      </c>
      <c r="AD28" s="420">
        <f t="shared" si="21"/>
        <v>0</v>
      </c>
      <c r="AE28" s="420">
        <f t="shared" si="22"/>
        <v>0</v>
      </c>
      <c r="AF28" s="421">
        <f t="shared" si="23"/>
        <v>0</v>
      </c>
      <c r="AG28" s="420">
        <f t="shared" si="24"/>
        <v>0</v>
      </c>
      <c r="AH28" s="421">
        <f t="shared" si="25"/>
        <v>0</v>
      </c>
      <c r="AI28" s="420">
        <f t="shared" si="26"/>
        <v>0</v>
      </c>
      <c r="AJ28" s="422">
        <f>IF((D28&lt;&gt;""),VLOOKUP(D28,Données!$E$36:$H$59,4,FALSE),)</f>
        <v>0</v>
      </c>
      <c r="AK28" s="422">
        <f t="shared" si="27"/>
        <v>0</v>
      </c>
      <c r="AL28" s="423">
        <f t="shared" si="28"/>
        <v>0</v>
      </c>
      <c r="AM28" s="424">
        <f t="shared" si="29"/>
        <v>0</v>
      </c>
      <c r="AN28" s="425">
        <f t="shared" si="11"/>
        <v>0</v>
      </c>
      <c r="AO28" s="422">
        <f t="shared" si="12"/>
        <v>0</v>
      </c>
      <c r="AP28" s="426">
        <f t="shared" si="30"/>
        <v>0</v>
      </c>
      <c r="AQ28" s="426">
        <f t="shared" si="31"/>
        <v>0</v>
      </c>
      <c r="AR28" s="426">
        <f t="shared" si="32"/>
        <v>0</v>
      </c>
      <c r="AS28" s="426">
        <f t="shared" si="33"/>
        <v>0</v>
      </c>
      <c r="AT28" s="424">
        <f t="shared" si="13"/>
        <v>0</v>
      </c>
      <c r="AU28" s="424">
        <f t="shared" si="14"/>
        <v>0</v>
      </c>
      <c r="AV28" s="402">
        <f>IF(Données!$H$8="x",AW28,AX28)</f>
        <v>4.7499999999999982</v>
      </c>
      <c r="AW28" s="402">
        <f t="shared" si="15"/>
        <v>2.3749999999999991</v>
      </c>
      <c r="AX28" s="402">
        <f>AX27</f>
        <v>4.7499999999999982</v>
      </c>
      <c r="AY28" s="403" t="str">
        <f t="shared" si="17"/>
        <v>Di</v>
      </c>
      <c r="AZ28" s="423">
        <f>IF((S40="O1")*AND(S41&lt;&gt;""),VLOOKUP(S41,Échelle!$Q$39:$R$65,2),)</f>
        <v>0</v>
      </c>
      <c r="BA28" s="424" t="s">
        <v>22</v>
      </c>
      <c r="BB28" s="148"/>
    </row>
    <row r="29" spans="2:54" x14ac:dyDescent="0.2">
      <c r="B29" s="467" t="s">
        <v>188</v>
      </c>
      <c r="C29" s="468" t="s">
        <v>399</v>
      </c>
      <c r="D29" s="469"/>
      <c r="E29" s="469"/>
      <c r="F29" s="470"/>
      <c r="G29" s="470"/>
      <c r="H29" s="470"/>
      <c r="I29" s="470"/>
      <c r="J29" s="470"/>
      <c r="K29" s="470"/>
      <c r="L29" s="471">
        <f t="shared" si="1"/>
        <v>0</v>
      </c>
      <c r="M29" s="471">
        <f t="shared" si="18"/>
        <v>0</v>
      </c>
      <c r="N29" s="488">
        <f>IF(Avr!$H$47="x",AV29+Avr!$N$36,AV29)</f>
        <v>5.0666666666666647</v>
      </c>
      <c r="O29" s="483" t="str">
        <f t="shared" si="2"/>
        <v>-</v>
      </c>
      <c r="P29" s="473">
        <f>ABS(M29-N29-U4)</f>
        <v>5.0666666666666647</v>
      </c>
      <c r="Q29" s="474">
        <f t="shared" si="3"/>
        <v>0</v>
      </c>
      <c r="R29" s="474">
        <f t="shared" si="4"/>
        <v>0</v>
      </c>
      <c r="S29" s="474">
        <f t="shared" si="5"/>
        <v>0</v>
      </c>
      <c r="T29" s="474">
        <f t="shared" si="6"/>
        <v>0</v>
      </c>
      <c r="U29" s="471">
        <f t="shared" si="7"/>
        <v>0</v>
      </c>
      <c r="V29" s="471">
        <f t="shared" ref="V29:V33" si="38">IF(D29="F",L29,0)</f>
        <v>0</v>
      </c>
      <c r="W29" s="471">
        <f t="shared" si="9"/>
        <v>0</v>
      </c>
      <c r="X29" s="471">
        <f t="shared" si="10"/>
        <v>0</v>
      </c>
      <c r="Y29" s="470"/>
      <c r="Z29" s="470"/>
      <c r="AA29" s="469"/>
      <c r="AB29" s="475">
        <f t="shared" si="19"/>
        <v>0</v>
      </c>
      <c r="AC29" s="475">
        <f t="shared" si="20"/>
        <v>0</v>
      </c>
      <c r="AD29" s="475">
        <f t="shared" si="21"/>
        <v>0</v>
      </c>
      <c r="AE29" s="475">
        <f t="shared" si="22"/>
        <v>0</v>
      </c>
      <c r="AF29" s="476">
        <f t="shared" si="23"/>
        <v>0</v>
      </c>
      <c r="AG29" s="475">
        <f t="shared" si="24"/>
        <v>0</v>
      </c>
      <c r="AH29" s="476">
        <f t="shared" si="25"/>
        <v>0</v>
      </c>
      <c r="AI29" s="475">
        <f t="shared" si="26"/>
        <v>0</v>
      </c>
      <c r="AJ29" s="477">
        <f>IF((D29&lt;&gt;""),VLOOKUP(D29,Données!$E$36:$H$59,4,FALSE),)</f>
        <v>0</v>
      </c>
      <c r="AK29" s="477">
        <f t="shared" si="27"/>
        <v>0</v>
      </c>
      <c r="AL29" s="478">
        <f t="shared" si="28"/>
        <v>0</v>
      </c>
      <c r="AM29" s="479">
        <f t="shared" si="29"/>
        <v>0</v>
      </c>
      <c r="AN29" s="480">
        <f t="shared" si="11"/>
        <v>0</v>
      </c>
      <c r="AO29" s="477">
        <f t="shared" si="12"/>
        <v>0</v>
      </c>
      <c r="AP29" s="481">
        <f t="shared" si="30"/>
        <v>0</v>
      </c>
      <c r="AQ29" s="481">
        <f t="shared" si="31"/>
        <v>0</v>
      </c>
      <c r="AR29" s="481">
        <f t="shared" si="32"/>
        <v>0</v>
      </c>
      <c r="AS29" s="481">
        <f t="shared" si="33"/>
        <v>0</v>
      </c>
      <c r="AT29" s="479">
        <f t="shared" si="13"/>
        <v>0</v>
      </c>
      <c r="AU29" s="479">
        <f t="shared" si="14"/>
        <v>0</v>
      </c>
      <c r="AV29" s="471">
        <f>IF(Données!$H$8="x",AW29,AX29)</f>
        <v>5.0666666666666647</v>
      </c>
      <c r="AW29" s="471">
        <f t="shared" si="15"/>
        <v>2.5333333333333323</v>
      </c>
      <c r="AX29" s="471">
        <f t="shared" ref="AX29:AX33" si="39">IF(D29="L",AX28,(AX28+"07:36"))</f>
        <v>5.0666666666666647</v>
      </c>
      <c r="AY29" s="467" t="str">
        <f t="shared" si="17"/>
        <v>Lu</v>
      </c>
      <c r="AZ29" s="7">
        <f>IF((S40="O2")*AND(S41&lt;&gt;""),VLOOKUP(S41,Échelle!$T$39:$U$65,2),)</f>
        <v>0</v>
      </c>
      <c r="BA29" s="4" t="s">
        <v>23</v>
      </c>
      <c r="BB29" s="148"/>
    </row>
    <row r="30" spans="2:54" x14ac:dyDescent="0.2">
      <c r="B30" s="467" t="s">
        <v>176</v>
      </c>
      <c r="C30" s="468" t="s">
        <v>400</v>
      </c>
      <c r="D30" s="469"/>
      <c r="E30" s="469"/>
      <c r="F30" s="470"/>
      <c r="G30" s="470"/>
      <c r="H30" s="470"/>
      <c r="I30" s="470"/>
      <c r="J30" s="470"/>
      <c r="K30" s="470"/>
      <c r="L30" s="471">
        <f t="shared" si="1"/>
        <v>0</v>
      </c>
      <c r="M30" s="471">
        <f t="shared" si="18"/>
        <v>0</v>
      </c>
      <c r="N30" s="488">
        <f>IF(Avr!$H$47="x",AV30+Avr!$N$36,AV30)</f>
        <v>5.3833333333333311</v>
      </c>
      <c r="O30" s="483" t="str">
        <f t="shared" si="2"/>
        <v>-</v>
      </c>
      <c r="P30" s="473">
        <f>ABS(M30-N30-U4)</f>
        <v>5.3833333333333311</v>
      </c>
      <c r="Q30" s="474">
        <f t="shared" si="3"/>
        <v>0</v>
      </c>
      <c r="R30" s="474">
        <f t="shared" si="4"/>
        <v>0</v>
      </c>
      <c r="S30" s="474">
        <f t="shared" si="5"/>
        <v>0</v>
      </c>
      <c r="T30" s="474">
        <f t="shared" si="6"/>
        <v>0</v>
      </c>
      <c r="U30" s="471">
        <f t="shared" si="7"/>
        <v>0</v>
      </c>
      <c r="V30" s="471">
        <f t="shared" si="38"/>
        <v>0</v>
      </c>
      <c r="W30" s="471">
        <f t="shared" si="9"/>
        <v>0</v>
      </c>
      <c r="X30" s="471">
        <f t="shared" si="10"/>
        <v>0</v>
      </c>
      <c r="Y30" s="470"/>
      <c r="Z30" s="470"/>
      <c r="AA30" s="469"/>
      <c r="AB30" s="475">
        <f t="shared" si="19"/>
        <v>0</v>
      </c>
      <c r="AC30" s="475">
        <f t="shared" si="20"/>
        <v>0</v>
      </c>
      <c r="AD30" s="475">
        <f t="shared" si="21"/>
        <v>0</v>
      </c>
      <c r="AE30" s="475">
        <f t="shared" si="22"/>
        <v>0</v>
      </c>
      <c r="AF30" s="476">
        <f t="shared" si="23"/>
        <v>0</v>
      </c>
      <c r="AG30" s="475">
        <f t="shared" si="24"/>
        <v>0</v>
      </c>
      <c r="AH30" s="476">
        <f t="shared" si="25"/>
        <v>0</v>
      </c>
      <c r="AI30" s="475">
        <f t="shared" si="26"/>
        <v>0</v>
      </c>
      <c r="AJ30" s="477">
        <f>IF((D30&lt;&gt;""),VLOOKUP(D30,Données!$E$36:$H$59,4,FALSE),)</f>
        <v>0</v>
      </c>
      <c r="AK30" s="477">
        <f t="shared" si="27"/>
        <v>0</v>
      </c>
      <c r="AL30" s="478">
        <f t="shared" si="28"/>
        <v>0</v>
      </c>
      <c r="AM30" s="479">
        <f t="shared" si="29"/>
        <v>0</v>
      </c>
      <c r="AN30" s="480">
        <f t="shared" si="11"/>
        <v>0</v>
      </c>
      <c r="AO30" s="477">
        <f t="shared" si="12"/>
        <v>0</v>
      </c>
      <c r="AP30" s="481">
        <f t="shared" si="30"/>
        <v>0</v>
      </c>
      <c r="AQ30" s="481">
        <f t="shared" si="31"/>
        <v>0</v>
      </c>
      <c r="AR30" s="481">
        <f t="shared" si="32"/>
        <v>0</v>
      </c>
      <c r="AS30" s="481">
        <f t="shared" si="33"/>
        <v>0</v>
      </c>
      <c r="AT30" s="479">
        <f t="shared" si="13"/>
        <v>0</v>
      </c>
      <c r="AU30" s="479">
        <f t="shared" si="14"/>
        <v>0</v>
      </c>
      <c r="AV30" s="471">
        <f>IF(Données!$H$8="x",AW30,AX30)</f>
        <v>5.3833333333333311</v>
      </c>
      <c r="AW30" s="471">
        <f t="shared" si="15"/>
        <v>2.6916666666666655</v>
      </c>
      <c r="AX30" s="471">
        <f t="shared" si="39"/>
        <v>5.3833333333333311</v>
      </c>
      <c r="AY30" s="467" t="str">
        <f t="shared" si="17"/>
        <v>Ma</v>
      </c>
      <c r="AZ30" s="7">
        <f>IF((S40="O2ir")*AND(S41&lt;&gt;""),VLOOKUP(S41,Échelle!$AR$39:$AS$65,2),)</f>
        <v>0</v>
      </c>
      <c r="BA30" s="4" t="s">
        <v>31</v>
      </c>
      <c r="BB30" s="148"/>
    </row>
    <row r="31" spans="2:54" x14ac:dyDescent="0.2">
      <c r="B31" s="491" t="s">
        <v>178</v>
      </c>
      <c r="C31" s="468" t="s">
        <v>401</v>
      </c>
      <c r="D31" s="469"/>
      <c r="E31" s="469"/>
      <c r="F31" s="470"/>
      <c r="G31" s="470"/>
      <c r="H31" s="470"/>
      <c r="I31" s="470"/>
      <c r="J31" s="470"/>
      <c r="K31" s="470"/>
      <c r="L31" s="471">
        <f t="shared" si="1"/>
        <v>0</v>
      </c>
      <c r="M31" s="471">
        <f t="shared" si="18"/>
        <v>0</v>
      </c>
      <c r="N31" s="488">
        <f>IF(Avr!$H$47="x",AV31+Avr!$N$36,AV31)</f>
        <v>5.6999999999999975</v>
      </c>
      <c r="O31" s="483" t="str">
        <f t="shared" si="2"/>
        <v>-</v>
      </c>
      <c r="P31" s="473">
        <f>ABS(M31-N31-U4)</f>
        <v>5.6999999999999975</v>
      </c>
      <c r="Q31" s="474">
        <f t="shared" si="3"/>
        <v>0</v>
      </c>
      <c r="R31" s="474">
        <f t="shared" si="4"/>
        <v>0</v>
      </c>
      <c r="S31" s="474">
        <f t="shared" si="5"/>
        <v>0</v>
      </c>
      <c r="T31" s="474">
        <f t="shared" si="6"/>
        <v>0</v>
      </c>
      <c r="U31" s="471">
        <f t="shared" si="7"/>
        <v>0</v>
      </c>
      <c r="V31" s="471">
        <f t="shared" si="38"/>
        <v>0</v>
      </c>
      <c r="W31" s="471">
        <f t="shared" si="9"/>
        <v>0</v>
      </c>
      <c r="X31" s="471">
        <f t="shared" si="10"/>
        <v>0</v>
      </c>
      <c r="Y31" s="470"/>
      <c r="Z31" s="470"/>
      <c r="AA31" s="469"/>
      <c r="AB31" s="475">
        <f t="shared" si="19"/>
        <v>0</v>
      </c>
      <c r="AC31" s="475">
        <f t="shared" si="20"/>
        <v>0</v>
      </c>
      <c r="AD31" s="475">
        <f t="shared" si="21"/>
        <v>0</v>
      </c>
      <c r="AE31" s="475">
        <f t="shared" si="22"/>
        <v>0</v>
      </c>
      <c r="AF31" s="476">
        <f t="shared" si="23"/>
        <v>0</v>
      </c>
      <c r="AG31" s="475">
        <f t="shared" si="24"/>
        <v>0</v>
      </c>
      <c r="AH31" s="476">
        <f t="shared" si="25"/>
        <v>0</v>
      </c>
      <c r="AI31" s="475">
        <f t="shared" si="26"/>
        <v>0</v>
      </c>
      <c r="AJ31" s="477">
        <f>IF((D31&lt;&gt;""),VLOOKUP(D31,Données!$E$36:$H$59,4,FALSE),)</f>
        <v>0</v>
      </c>
      <c r="AK31" s="477">
        <f t="shared" si="27"/>
        <v>0</v>
      </c>
      <c r="AL31" s="478">
        <f t="shared" si="28"/>
        <v>0</v>
      </c>
      <c r="AM31" s="479">
        <f t="shared" si="29"/>
        <v>0</v>
      </c>
      <c r="AN31" s="480">
        <f t="shared" si="11"/>
        <v>0</v>
      </c>
      <c r="AO31" s="477">
        <f t="shared" si="12"/>
        <v>0</v>
      </c>
      <c r="AP31" s="481">
        <f t="shared" si="30"/>
        <v>0</v>
      </c>
      <c r="AQ31" s="481">
        <f t="shared" si="31"/>
        <v>0</v>
      </c>
      <c r="AR31" s="481">
        <f t="shared" si="32"/>
        <v>0</v>
      </c>
      <c r="AS31" s="481">
        <f t="shared" si="33"/>
        <v>0</v>
      </c>
      <c r="AT31" s="479">
        <f t="shared" si="13"/>
        <v>0</v>
      </c>
      <c r="AU31" s="479">
        <f t="shared" si="14"/>
        <v>0</v>
      </c>
      <c r="AV31" s="471">
        <f>IF(Données!$H$8="x",AW31,AX31)</f>
        <v>5.6999999999999975</v>
      </c>
      <c r="AW31" s="471">
        <f t="shared" si="15"/>
        <v>2.8499999999999988</v>
      </c>
      <c r="AX31" s="471">
        <f t="shared" si="39"/>
        <v>5.6999999999999975</v>
      </c>
      <c r="AY31" s="467" t="str">
        <f t="shared" si="17"/>
        <v>Me</v>
      </c>
      <c r="AZ31" s="7">
        <f>IF((S40="O3")*AND(S41&lt;&gt;""),VLOOKUP(S41,Échelle!$W$39:$X$65,2),)</f>
        <v>0</v>
      </c>
      <c r="BA31" s="4" t="s">
        <v>24</v>
      </c>
      <c r="BB31" s="148"/>
    </row>
    <row r="32" spans="2:54" x14ac:dyDescent="0.2">
      <c r="B32" s="430" t="s">
        <v>180</v>
      </c>
      <c r="C32" s="431" t="s">
        <v>402</v>
      </c>
      <c r="D32" s="432" t="s">
        <v>84</v>
      </c>
      <c r="E32" s="432"/>
      <c r="F32" s="433"/>
      <c r="G32" s="433"/>
      <c r="H32" s="433"/>
      <c r="I32" s="433"/>
      <c r="J32" s="433"/>
      <c r="K32" s="433"/>
      <c r="L32" s="434">
        <f t="shared" si="1"/>
        <v>0.31666666666666665</v>
      </c>
      <c r="M32" s="434">
        <f t="shared" si="18"/>
        <v>0.31666666666666665</v>
      </c>
      <c r="N32" s="439">
        <f>IF(Avr!$H$47="x",AV32+Avr!$N$36,AV32)</f>
        <v>6.0166666666666639</v>
      </c>
      <c r="O32" s="440" t="str">
        <f t="shared" si="2"/>
        <v>-</v>
      </c>
      <c r="P32" s="435">
        <f>ABS(M32-N32-U4)</f>
        <v>5.6999999999999975</v>
      </c>
      <c r="Q32" s="436">
        <f t="shared" si="3"/>
        <v>0</v>
      </c>
      <c r="R32" s="436">
        <f t="shared" si="4"/>
        <v>0</v>
      </c>
      <c r="S32" s="436">
        <f t="shared" si="5"/>
        <v>0</v>
      </c>
      <c r="T32" s="436">
        <f t="shared" si="6"/>
        <v>0</v>
      </c>
      <c r="U32" s="434">
        <f t="shared" si="7"/>
        <v>0</v>
      </c>
      <c r="V32" s="434">
        <f t="shared" si="38"/>
        <v>0</v>
      </c>
      <c r="W32" s="434">
        <f t="shared" si="9"/>
        <v>0</v>
      </c>
      <c r="X32" s="434">
        <f t="shared" si="10"/>
        <v>0</v>
      </c>
      <c r="Y32" s="433"/>
      <c r="Z32" s="433"/>
      <c r="AA32" s="432"/>
      <c r="AB32" s="442">
        <f t="shared" si="19"/>
        <v>0</v>
      </c>
      <c r="AC32" s="442">
        <f t="shared" si="20"/>
        <v>0</v>
      </c>
      <c r="AD32" s="442">
        <f t="shared" si="21"/>
        <v>0</v>
      </c>
      <c r="AE32" s="442">
        <f t="shared" si="22"/>
        <v>0</v>
      </c>
      <c r="AF32" s="443">
        <f t="shared" si="23"/>
        <v>0</v>
      </c>
      <c r="AG32" s="442">
        <f t="shared" si="24"/>
        <v>0</v>
      </c>
      <c r="AH32" s="443">
        <f t="shared" si="25"/>
        <v>0</v>
      </c>
      <c r="AI32" s="442">
        <f t="shared" si="26"/>
        <v>0</v>
      </c>
      <c r="AJ32" s="444">
        <f>IF((D32&lt;&gt;""),VLOOKUP(D32,Données!$E$36:$H$59,4,FALSE),)</f>
        <v>0.31666666666666665</v>
      </c>
      <c r="AK32" s="444">
        <f t="shared" si="27"/>
        <v>0</v>
      </c>
      <c r="AL32" s="445" t="str">
        <f t="shared" si="28"/>
        <v>FC</v>
      </c>
      <c r="AM32" s="446">
        <f t="shared" si="29"/>
        <v>0</v>
      </c>
      <c r="AN32" s="447">
        <f t="shared" si="11"/>
        <v>0</v>
      </c>
      <c r="AO32" s="444">
        <f t="shared" si="12"/>
        <v>0</v>
      </c>
      <c r="AP32" s="448">
        <f t="shared" si="30"/>
        <v>0</v>
      </c>
      <c r="AQ32" s="448">
        <f t="shared" si="31"/>
        <v>0</v>
      </c>
      <c r="AR32" s="448">
        <f t="shared" si="32"/>
        <v>0</v>
      </c>
      <c r="AS32" s="448">
        <f t="shared" si="33"/>
        <v>0</v>
      </c>
      <c r="AT32" s="446">
        <f t="shared" si="13"/>
        <v>0</v>
      </c>
      <c r="AU32" s="446">
        <f t="shared" si="14"/>
        <v>0</v>
      </c>
      <c r="AV32" s="434">
        <f>IF(Données!$H$8="x",AW32,AX32)</f>
        <v>6.0166666666666639</v>
      </c>
      <c r="AW32" s="434">
        <f t="shared" si="15"/>
        <v>3.008333333333332</v>
      </c>
      <c r="AX32" s="434">
        <f t="shared" si="39"/>
        <v>6.0166666666666639</v>
      </c>
      <c r="AY32" s="430" t="str">
        <f t="shared" si="17"/>
        <v>Je</v>
      </c>
      <c r="AZ32" s="445">
        <f>IF((S40="O3ir")*AND(S41&lt;&gt;""),VLOOKUP(S41,Échelle!$AU$39:$AV$65,2),)</f>
        <v>0</v>
      </c>
      <c r="BA32" s="446" t="s">
        <v>32</v>
      </c>
      <c r="BB32" s="148"/>
    </row>
    <row r="33" spans="2:54" ht="13.5" customHeight="1" x14ac:dyDescent="0.2">
      <c r="B33" s="497" t="s">
        <v>182</v>
      </c>
      <c r="C33" s="498" t="s">
        <v>403</v>
      </c>
      <c r="D33" s="499" t="s">
        <v>90</v>
      </c>
      <c r="E33" s="499"/>
      <c r="F33" s="500"/>
      <c r="G33" s="500"/>
      <c r="H33" s="500"/>
      <c r="I33" s="500"/>
      <c r="J33" s="500"/>
      <c r="K33" s="500"/>
      <c r="L33" s="501">
        <f t="shared" si="1"/>
        <v>0.31666666666666665</v>
      </c>
      <c r="M33" s="501">
        <f>M32+L33</f>
        <v>0.6333333333333333</v>
      </c>
      <c r="N33" s="502">
        <f>IF(Avr!$H$47="x",AV33+Avr!$N$36,AV33)</f>
        <v>6.3333333333333304</v>
      </c>
      <c r="O33" s="503" t="str">
        <f t="shared" si="2"/>
        <v>-</v>
      </c>
      <c r="P33" s="504">
        <f>ABS(M33-N33-U4)</f>
        <v>5.6999999999999975</v>
      </c>
      <c r="Q33" s="505">
        <f t="shared" si="3"/>
        <v>0</v>
      </c>
      <c r="R33" s="505">
        <f t="shared" si="4"/>
        <v>0</v>
      </c>
      <c r="S33" s="505">
        <f t="shared" si="5"/>
        <v>0</v>
      </c>
      <c r="T33" s="505">
        <f t="shared" si="6"/>
        <v>0</v>
      </c>
      <c r="U33" s="501">
        <f t="shared" si="7"/>
        <v>0</v>
      </c>
      <c r="V33" s="501">
        <f t="shared" si="38"/>
        <v>0</v>
      </c>
      <c r="W33" s="501">
        <f t="shared" si="9"/>
        <v>0</v>
      </c>
      <c r="X33" s="501">
        <f t="shared" si="10"/>
        <v>0</v>
      </c>
      <c r="Y33" s="500"/>
      <c r="Z33" s="500"/>
      <c r="AA33" s="499"/>
      <c r="AB33" s="506">
        <f t="shared" si="19"/>
        <v>0</v>
      </c>
      <c r="AC33" s="506">
        <f t="shared" si="20"/>
        <v>0</v>
      </c>
      <c r="AD33" s="506">
        <f t="shared" si="21"/>
        <v>0</v>
      </c>
      <c r="AE33" s="506">
        <f t="shared" si="22"/>
        <v>0</v>
      </c>
      <c r="AF33" s="507">
        <f t="shared" si="23"/>
        <v>0</v>
      </c>
      <c r="AG33" s="506">
        <f t="shared" si="24"/>
        <v>0</v>
      </c>
      <c r="AH33" s="507">
        <f t="shared" si="25"/>
        <v>0</v>
      </c>
      <c r="AI33" s="506">
        <f t="shared" si="26"/>
        <v>0</v>
      </c>
      <c r="AJ33" s="508">
        <f>IF((D33&lt;&gt;""),VLOOKUP(D33,Données!$E$36:$H$59,4,FALSE),)</f>
        <v>0</v>
      </c>
      <c r="AK33" s="508">
        <f t="shared" si="27"/>
        <v>0</v>
      </c>
      <c r="AL33" s="509" t="str">
        <f t="shared" si="28"/>
        <v>JP</v>
      </c>
      <c r="AM33" s="510">
        <f t="shared" si="29"/>
        <v>0</v>
      </c>
      <c r="AN33" s="511">
        <f t="shared" si="11"/>
        <v>0</v>
      </c>
      <c r="AO33" s="508" t="str">
        <f t="shared" si="12"/>
        <v>07:36</v>
      </c>
      <c r="AP33" s="512">
        <f t="shared" si="30"/>
        <v>0</v>
      </c>
      <c r="AQ33" s="512">
        <f t="shared" si="31"/>
        <v>0</v>
      </c>
      <c r="AR33" s="512">
        <f t="shared" si="32"/>
        <v>0</v>
      </c>
      <c r="AS33" s="512">
        <f t="shared" si="33"/>
        <v>0</v>
      </c>
      <c r="AT33" s="510">
        <f t="shared" si="13"/>
        <v>0</v>
      </c>
      <c r="AU33" s="510">
        <f t="shared" si="14"/>
        <v>0</v>
      </c>
      <c r="AV33" s="501">
        <f>IF(Données!$H$8="x",AW33,AX33)</f>
        <v>6.3333333333333304</v>
      </c>
      <c r="AW33" s="501">
        <f t="shared" si="15"/>
        <v>3.1666666666666652</v>
      </c>
      <c r="AX33" s="501">
        <f t="shared" si="39"/>
        <v>6.3333333333333304</v>
      </c>
      <c r="AY33" s="497" t="str">
        <f t="shared" si="17"/>
        <v>Ve</v>
      </c>
      <c r="AZ33" s="509">
        <f>IF((S40="O4")*AND(S41&lt;&gt;""),VLOOKUP(S41,Échelle!$Z$39:$AA$65,2),)</f>
        <v>0</v>
      </c>
      <c r="BA33" s="510" t="s">
        <v>25</v>
      </c>
      <c r="BB33" s="148"/>
    </row>
    <row r="34" spans="2:54" x14ac:dyDescent="0.2">
      <c r="B34" s="403" t="s">
        <v>184</v>
      </c>
      <c r="C34" s="412" t="s">
        <v>404</v>
      </c>
      <c r="D34" s="411"/>
      <c r="E34" s="411"/>
      <c r="F34" s="401"/>
      <c r="G34" s="401"/>
      <c r="H34" s="401"/>
      <c r="I34" s="401"/>
      <c r="J34" s="401"/>
      <c r="K34" s="401"/>
      <c r="L34" s="402">
        <f>(G34-F34)+(I34-H34)+(K34-J34)</f>
        <v>0</v>
      </c>
      <c r="M34" s="402">
        <f>M33+L34</f>
        <v>0.6333333333333333</v>
      </c>
      <c r="N34" s="407">
        <f>IF(Avr!$H$47="x",AV34+Avr!$N$36,AV34)</f>
        <v>6.3333333333333304</v>
      </c>
      <c r="O34" s="408" t="str">
        <f t="shared" si="2"/>
        <v>-</v>
      </c>
      <c r="P34" s="413">
        <f>ABS(M34-N34-U4)</f>
        <v>5.6999999999999975</v>
      </c>
      <c r="Q34" s="410">
        <f t="shared" si="3"/>
        <v>0</v>
      </c>
      <c r="R34" s="410">
        <f t="shared" si="4"/>
        <v>0</v>
      </c>
      <c r="S34" s="410">
        <f t="shared" si="5"/>
        <v>0</v>
      </c>
      <c r="T34" s="410">
        <f t="shared" si="6"/>
        <v>0</v>
      </c>
      <c r="U34" s="402">
        <f t="shared" si="7"/>
        <v>0</v>
      </c>
      <c r="V34" s="402">
        <f>L34</f>
        <v>0</v>
      </c>
      <c r="W34" s="402">
        <f t="shared" si="9"/>
        <v>0</v>
      </c>
      <c r="X34" s="402">
        <f t="shared" si="10"/>
        <v>0</v>
      </c>
      <c r="Y34" s="401"/>
      <c r="Z34" s="401"/>
      <c r="AA34" s="411"/>
      <c r="AB34" s="420">
        <f t="shared" si="19"/>
        <v>0</v>
      </c>
      <c r="AC34" s="420">
        <f t="shared" si="20"/>
        <v>0</v>
      </c>
      <c r="AD34" s="420">
        <f t="shared" si="21"/>
        <v>0</v>
      </c>
      <c r="AE34" s="420">
        <f t="shared" si="22"/>
        <v>0</v>
      </c>
      <c r="AF34" s="421">
        <f t="shared" si="23"/>
        <v>0</v>
      </c>
      <c r="AG34" s="420">
        <f t="shared" si="24"/>
        <v>0</v>
      </c>
      <c r="AH34" s="421">
        <f t="shared" si="25"/>
        <v>0</v>
      </c>
      <c r="AI34" s="420">
        <f t="shared" si="26"/>
        <v>0</v>
      </c>
      <c r="AJ34" s="422">
        <f>IF((D34&lt;&gt;""),VLOOKUP(D34,Données!$E$36:$H$59,4,FALSE),)</f>
        <v>0</v>
      </c>
      <c r="AK34" s="422">
        <f t="shared" si="27"/>
        <v>0</v>
      </c>
      <c r="AL34" s="423">
        <f t="shared" si="28"/>
        <v>0</v>
      </c>
      <c r="AM34" s="424">
        <f t="shared" si="29"/>
        <v>0</v>
      </c>
      <c r="AN34" s="425">
        <f t="shared" si="11"/>
        <v>0</v>
      </c>
      <c r="AO34" s="422">
        <f t="shared" si="12"/>
        <v>0</v>
      </c>
      <c r="AP34" s="426">
        <f t="shared" si="30"/>
        <v>0</v>
      </c>
      <c r="AQ34" s="426">
        <f t="shared" si="31"/>
        <v>0</v>
      </c>
      <c r="AR34" s="426">
        <f t="shared" si="32"/>
        <v>0</v>
      </c>
      <c r="AS34" s="426">
        <f t="shared" si="33"/>
        <v>0</v>
      </c>
      <c r="AT34" s="424">
        <f t="shared" si="13"/>
        <v>0</v>
      </c>
      <c r="AU34" s="424">
        <f t="shared" si="14"/>
        <v>0</v>
      </c>
      <c r="AV34" s="402">
        <f>IF(Données!$H$8="x",AW34,AX34)</f>
        <v>6.3333333333333304</v>
      </c>
      <c r="AW34" s="402">
        <f t="shared" si="15"/>
        <v>3.1666666666666652</v>
      </c>
      <c r="AX34" s="402">
        <f>AX33</f>
        <v>6.3333333333333304</v>
      </c>
      <c r="AY34" s="403" t="str">
        <f t="shared" si="17"/>
        <v>Sa</v>
      </c>
      <c r="AZ34" s="423">
        <f>IF((S40="O4bis")*AND(S41&lt;&gt;""),VLOOKUP(S41,Échelle!$BG$39:$BH$65,2),)</f>
        <v>0</v>
      </c>
      <c r="BA34" s="424" t="s">
        <v>36</v>
      </c>
      <c r="BB34" s="148"/>
    </row>
    <row r="35" spans="2:54" x14ac:dyDescent="0.2">
      <c r="B35" s="403" t="s">
        <v>186</v>
      </c>
      <c r="C35" s="412" t="s">
        <v>405</v>
      </c>
      <c r="D35" s="411"/>
      <c r="E35" s="411"/>
      <c r="F35" s="401"/>
      <c r="G35" s="401"/>
      <c r="H35" s="401"/>
      <c r="I35" s="401"/>
      <c r="J35" s="401"/>
      <c r="K35" s="401"/>
      <c r="L35" s="402">
        <f>(G35-F35)+(I35-H35)+(K35-J35)</f>
        <v>0</v>
      </c>
      <c r="M35" s="402">
        <f t="shared" si="18"/>
        <v>0.6333333333333333</v>
      </c>
      <c r="N35" s="407">
        <f>IF(Avr!$H$47="x",AV35+Avr!$N$36,AV35)</f>
        <v>6.3333333333333304</v>
      </c>
      <c r="O35" s="408" t="str">
        <f t="shared" si="2"/>
        <v>-</v>
      </c>
      <c r="P35" s="413">
        <f>ABS(M35-N35-U4)</f>
        <v>5.6999999999999975</v>
      </c>
      <c r="Q35" s="410">
        <f t="shared" si="3"/>
        <v>0</v>
      </c>
      <c r="R35" s="410">
        <f t="shared" si="4"/>
        <v>0</v>
      </c>
      <c r="S35" s="410">
        <f t="shared" si="5"/>
        <v>0</v>
      </c>
      <c r="T35" s="410">
        <f t="shared" si="6"/>
        <v>0</v>
      </c>
      <c r="U35" s="402">
        <f t="shared" si="7"/>
        <v>0</v>
      </c>
      <c r="V35" s="402">
        <f>L35</f>
        <v>0</v>
      </c>
      <c r="W35" s="402">
        <f t="shared" si="9"/>
        <v>0</v>
      </c>
      <c r="X35" s="402">
        <f t="shared" si="10"/>
        <v>0</v>
      </c>
      <c r="Y35" s="401"/>
      <c r="Z35" s="401"/>
      <c r="AA35" s="411"/>
      <c r="AB35" s="420">
        <f t="shared" si="19"/>
        <v>0</v>
      </c>
      <c r="AC35" s="420">
        <f t="shared" si="20"/>
        <v>0</v>
      </c>
      <c r="AD35" s="420">
        <f t="shared" si="21"/>
        <v>0</v>
      </c>
      <c r="AE35" s="420">
        <f t="shared" si="22"/>
        <v>0</v>
      </c>
      <c r="AF35" s="421">
        <f t="shared" si="23"/>
        <v>0</v>
      </c>
      <c r="AG35" s="420">
        <f t="shared" si="24"/>
        <v>0</v>
      </c>
      <c r="AH35" s="421">
        <f t="shared" si="25"/>
        <v>0</v>
      </c>
      <c r="AI35" s="420">
        <f t="shared" si="26"/>
        <v>0</v>
      </c>
      <c r="AJ35" s="422">
        <f>IF((D35&lt;&gt;""),VLOOKUP(D35,Données!$E$36:$H$59,4,FALSE),)</f>
        <v>0</v>
      </c>
      <c r="AK35" s="422">
        <f t="shared" si="27"/>
        <v>0</v>
      </c>
      <c r="AL35" s="423">
        <f t="shared" si="28"/>
        <v>0</v>
      </c>
      <c r="AM35" s="424">
        <f t="shared" si="29"/>
        <v>0</v>
      </c>
      <c r="AN35" s="425">
        <f t="shared" si="11"/>
        <v>0</v>
      </c>
      <c r="AO35" s="422">
        <f t="shared" si="12"/>
        <v>0</v>
      </c>
      <c r="AP35" s="426">
        <f t="shared" si="30"/>
        <v>0</v>
      </c>
      <c r="AQ35" s="426">
        <f t="shared" si="31"/>
        <v>0</v>
      </c>
      <c r="AR35" s="426">
        <f t="shared" si="32"/>
        <v>0</v>
      </c>
      <c r="AS35" s="426">
        <f t="shared" si="33"/>
        <v>0</v>
      </c>
      <c r="AT35" s="424">
        <f t="shared" si="13"/>
        <v>0</v>
      </c>
      <c r="AU35" s="424">
        <f t="shared" si="14"/>
        <v>0</v>
      </c>
      <c r="AV35" s="402">
        <f>IF(Données!$H$8="x",AW35,AX35)</f>
        <v>6.3333333333333304</v>
      </c>
      <c r="AW35" s="402">
        <f t="shared" si="15"/>
        <v>3.1666666666666652</v>
      </c>
      <c r="AX35" s="402">
        <f>AX34</f>
        <v>6.3333333333333304</v>
      </c>
      <c r="AY35" s="403" t="str">
        <f t="shared" si="17"/>
        <v>Di</v>
      </c>
      <c r="AZ35" s="423">
        <f>IF((S40="O4bis-ir")*AND(S41&lt;&gt;""),VLOOKUP(S41,Échelle!$AO$39:$AP$65,2),)</f>
        <v>0</v>
      </c>
      <c r="BA35" s="424" t="s">
        <v>30</v>
      </c>
      <c r="BB35" s="148"/>
    </row>
    <row r="36" spans="2:54" x14ac:dyDescent="0.2">
      <c r="B36" s="467" t="s">
        <v>188</v>
      </c>
      <c r="C36" s="468" t="s">
        <v>406</v>
      </c>
      <c r="D36" s="469"/>
      <c r="E36" s="469"/>
      <c r="F36" s="470"/>
      <c r="G36" s="470"/>
      <c r="H36" s="470"/>
      <c r="I36" s="470"/>
      <c r="J36" s="470"/>
      <c r="K36" s="470"/>
      <c r="L36" s="471">
        <f>(G36-F36)+(I36-H36)+(K36-J36)+AJ36+AO36</f>
        <v>0</v>
      </c>
      <c r="M36" s="471">
        <f t="shared" si="18"/>
        <v>0.6333333333333333</v>
      </c>
      <c r="N36" s="488">
        <f>IF(Avr!$H$47="x",AV36+Avr!$N$36,AV36)</f>
        <v>6.6499999999999968</v>
      </c>
      <c r="O36" s="483" t="str">
        <f t="shared" si="2"/>
        <v>-</v>
      </c>
      <c r="P36" s="473">
        <f>ABS(M36-N36-U4)</f>
        <v>6.0166666666666639</v>
      </c>
      <c r="Q36" s="474">
        <f t="shared" si="3"/>
        <v>0</v>
      </c>
      <c r="R36" s="474">
        <f t="shared" si="4"/>
        <v>0</v>
      </c>
      <c r="S36" s="474">
        <f t="shared" si="5"/>
        <v>0</v>
      </c>
      <c r="T36" s="474">
        <f t="shared" si="6"/>
        <v>0</v>
      </c>
      <c r="U36" s="471">
        <f t="shared" si="7"/>
        <v>0</v>
      </c>
      <c r="V36" s="471">
        <f>IF(D36="F",L36,0)</f>
        <v>0</v>
      </c>
      <c r="W36" s="471">
        <f t="shared" si="9"/>
        <v>0</v>
      </c>
      <c r="X36" s="471">
        <f t="shared" si="10"/>
        <v>0</v>
      </c>
      <c r="Y36" s="470"/>
      <c r="Z36" s="470"/>
      <c r="AA36" s="469"/>
      <c r="AB36" s="475">
        <f t="shared" si="19"/>
        <v>0</v>
      </c>
      <c r="AC36" s="475">
        <f t="shared" si="20"/>
        <v>0</v>
      </c>
      <c r="AD36" s="475">
        <f t="shared" si="21"/>
        <v>0</v>
      </c>
      <c r="AE36" s="475">
        <f t="shared" si="22"/>
        <v>0</v>
      </c>
      <c r="AF36" s="476">
        <f t="shared" si="23"/>
        <v>0</v>
      </c>
      <c r="AG36" s="475">
        <f t="shared" si="24"/>
        <v>0</v>
      </c>
      <c r="AH36" s="476">
        <f t="shared" si="25"/>
        <v>0</v>
      </c>
      <c r="AI36" s="475">
        <f t="shared" si="26"/>
        <v>0</v>
      </c>
      <c r="AJ36" s="477">
        <f>IF((D36&lt;&gt;""),VLOOKUP(D36,Données!$E$36:$H$59,4,FALSE),)</f>
        <v>0</v>
      </c>
      <c r="AK36" s="477">
        <f t="shared" si="27"/>
        <v>0</v>
      </c>
      <c r="AL36" s="478">
        <f t="shared" si="28"/>
        <v>0</v>
      </c>
      <c r="AM36" s="479">
        <f t="shared" si="29"/>
        <v>0</v>
      </c>
      <c r="AN36" s="480">
        <f t="shared" si="11"/>
        <v>0</v>
      </c>
      <c r="AO36" s="477">
        <f t="shared" si="12"/>
        <v>0</v>
      </c>
      <c r="AP36" s="481">
        <f t="shared" si="30"/>
        <v>0</v>
      </c>
      <c r="AQ36" s="481">
        <f t="shared" si="31"/>
        <v>0</v>
      </c>
      <c r="AR36" s="481">
        <f t="shared" si="32"/>
        <v>0</v>
      </c>
      <c r="AS36" s="481">
        <f t="shared" si="33"/>
        <v>0</v>
      </c>
      <c r="AT36" s="479">
        <f t="shared" si="13"/>
        <v>0</v>
      </c>
      <c r="AU36" s="479">
        <f t="shared" si="14"/>
        <v>0</v>
      </c>
      <c r="AV36" s="471">
        <f>IF(Données!$H$8="x",AW36,AX36)</f>
        <v>6.6499999999999968</v>
      </c>
      <c r="AW36" s="471">
        <f t="shared" si="15"/>
        <v>3.3249999999999984</v>
      </c>
      <c r="AX36" s="471">
        <f>IF(D36="V",AX35,(AX35+"07:36"))</f>
        <v>6.6499999999999968</v>
      </c>
      <c r="AY36" s="467" t="str">
        <f t="shared" si="17"/>
        <v>Lu</v>
      </c>
      <c r="AZ36" s="7">
        <f>IF((S40="O4ir")*AND(S41&lt;&gt;""),VLOOKUP(S41,Échelle!$AX$39:$AY$65,2),)</f>
        <v>0</v>
      </c>
      <c r="BA36" s="4" t="s">
        <v>33</v>
      </c>
      <c r="BB36" s="148"/>
    </row>
    <row r="37" spans="2:54" x14ac:dyDescent="0.2">
      <c r="B37" s="467" t="s">
        <v>176</v>
      </c>
      <c r="C37" s="468" t="s">
        <v>407</v>
      </c>
      <c r="D37" s="469"/>
      <c r="E37" s="469"/>
      <c r="F37" s="470"/>
      <c r="G37" s="470"/>
      <c r="H37" s="470"/>
      <c r="I37" s="470"/>
      <c r="J37" s="470"/>
      <c r="K37" s="470"/>
      <c r="L37" s="471">
        <f>(G37-F37)+(I37-H37)+(K37-J37)+AJ37+AO37</f>
        <v>0</v>
      </c>
      <c r="M37" s="471">
        <f t="shared" si="18"/>
        <v>0.6333333333333333</v>
      </c>
      <c r="N37" s="488">
        <f>IF(Avr!$H$47="x",AV37+Avr!$N$36,AV37)</f>
        <v>6.9666666666666632</v>
      </c>
      <c r="O37" s="483" t="str">
        <f t="shared" si="2"/>
        <v>-</v>
      </c>
      <c r="P37" s="473">
        <f>ABS(M37-N37-U4)</f>
        <v>6.3333333333333304</v>
      </c>
      <c r="Q37" s="474">
        <f t="shared" si="3"/>
        <v>0</v>
      </c>
      <c r="R37" s="474">
        <f t="shared" si="4"/>
        <v>0</v>
      </c>
      <c r="S37" s="474">
        <f t="shared" si="5"/>
        <v>0</v>
      </c>
      <c r="T37" s="474">
        <f t="shared" si="6"/>
        <v>0</v>
      </c>
      <c r="U37" s="471">
        <f t="shared" si="7"/>
        <v>0</v>
      </c>
      <c r="V37" s="471">
        <f>IF(D37="F",L37,0)</f>
        <v>0</v>
      </c>
      <c r="W37" s="471">
        <f t="shared" si="9"/>
        <v>0</v>
      </c>
      <c r="X37" s="471">
        <f t="shared" si="10"/>
        <v>0</v>
      </c>
      <c r="Y37" s="470"/>
      <c r="Z37" s="470"/>
      <c r="AA37" s="469"/>
      <c r="AB37" s="475">
        <f t="shared" si="19"/>
        <v>0</v>
      </c>
      <c r="AC37" s="475">
        <f t="shared" si="20"/>
        <v>0</v>
      </c>
      <c r="AD37" s="475">
        <f t="shared" si="21"/>
        <v>0</v>
      </c>
      <c r="AE37" s="475">
        <f t="shared" si="22"/>
        <v>0</v>
      </c>
      <c r="AF37" s="476">
        <f t="shared" si="23"/>
        <v>0</v>
      </c>
      <c r="AG37" s="475">
        <f t="shared" si="24"/>
        <v>0</v>
      </c>
      <c r="AH37" s="476">
        <f t="shared" si="25"/>
        <v>0</v>
      </c>
      <c r="AI37" s="475">
        <f t="shared" si="26"/>
        <v>0</v>
      </c>
      <c r="AJ37" s="477">
        <f>IF((D37&lt;&gt;""),VLOOKUP(D37,Données!$E$36:$H$59,4,FALSE),)</f>
        <v>0</v>
      </c>
      <c r="AK37" s="477">
        <f t="shared" si="27"/>
        <v>0</v>
      </c>
      <c r="AL37" s="478">
        <f t="shared" si="28"/>
        <v>0</v>
      </c>
      <c r="AM37" s="479">
        <f t="shared" si="29"/>
        <v>0</v>
      </c>
      <c r="AN37" s="480">
        <f t="shared" si="11"/>
        <v>0</v>
      </c>
      <c r="AO37" s="477">
        <f t="shared" si="12"/>
        <v>0</v>
      </c>
      <c r="AP37" s="481">
        <f t="shared" si="30"/>
        <v>0</v>
      </c>
      <c r="AQ37" s="481">
        <f t="shared" si="31"/>
        <v>0</v>
      </c>
      <c r="AR37" s="481">
        <f t="shared" si="32"/>
        <v>0</v>
      </c>
      <c r="AS37" s="481">
        <f t="shared" si="33"/>
        <v>0</v>
      </c>
      <c r="AT37" s="479">
        <f t="shared" si="13"/>
        <v>0</v>
      </c>
      <c r="AU37" s="479">
        <f t="shared" si="14"/>
        <v>0</v>
      </c>
      <c r="AV37" s="471">
        <f>IF(Données!$H$8="x",AW37,AX37)</f>
        <v>6.9666666666666632</v>
      </c>
      <c r="AW37" s="471">
        <f t="shared" si="15"/>
        <v>3.4833333333333316</v>
      </c>
      <c r="AX37" s="471">
        <f>IF(D37="V",AX36,(AX36+"07:36"))</f>
        <v>6.9666666666666632</v>
      </c>
      <c r="AY37" s="467" t="str">
        <f t="shared" si="17"/>
        <v>Ma</v>
      </c>
      <c r="AZ37" s="7">
        <f>IF((S40="O5")*AND(S41&lt;&gt;""),VLOOKUP(S41,Échelle!$AC$39:$AD$65,2),)</f>
        <v>0</v>
      </c>
      <c r="BA37" s="4" t="s">
        <v>26</v>
      </c>
      <c r="BB37" s="148"/>
    </row>
    <row r="38" spans="2:54" x14ac:dyDescent="0.2">
      <c r="AB38" s="200">
        <f t="shared" ref="AB38:AI38" si="40">SUM(AB7:AB37)</f>
        <v>0</v>
      </c>
      <c r="AC38" s="200">
        <f t="shared" si="40"/>
        <v>0</v>
      </c>
      <c r="AD38" s="200">
        <f t="shared" si="40"/>
        <v>0</v>
      </c>
      <c r="AE38" s="200">
        <f t="shared" si="40"/>
        <v>0</v>
      </c>
      <c r="AF38" s="200">
        <f t="shared" si="40"/>
        <v>0</v>
      </c>
      <c r="AG38" s="200">
        <f t="shared" si="40"/>
        <v>0</v>
      </c>
      <c r="AH38" s="200">
        <f t="shared" si="40"/>
        <v>0</v>
      </c>
      <c r="AI38" s="200">
        <f t="shared" si="40"/>
        <v>0</v>
      </c>
      <c r="AK38" s="200">
        <f>SUM(AK7:AK37)</f>
        <v>0</v>
      </c>
      <c r="AM38" s="4">
        <f>SUM(AM7:AM37)+AT38</f>
        <v>0</v>
      </c>
      <c r="AN38" s="39"/>
      <c r="AO38" s="7"/>
      <c r="AP38" s="4">
        <f>SUM(AP7:AP37)</f>
        <v>0</v>
      </c>
      <c r="AQ38" s="4">
        <f>SUM(AQ7:AQ37)</f>
        <v>0</v>
      </c>
      <c r="AR38" s="4">
        <f>SUM(AR7:AR37)</f>
        <v>0</v>
      </c>
      <c r="AS38" s="4">
        <f>SUM(AS7:AS37)</f>
        <v>0</v>
      </c>
      <c r="AT38" s="4">
        <f>SUM(AT7:AT37)</f>
        <v>0</v>
      </c>
      <c r="AU38" s="4">
        <f>SUM(AU7:AU37)+AT38</f>
        <v>0</v>
      </c>
      <c r="AW38" s="28"/>
      <c r="AZ38" s="7">
        <f>IF((S40="O5ir")*AND(S41&lt;&gt;""),VLOOKUP(S41,Échelle!$BA$39:$BB$65,2),)</f>
        <v>0</v>
      </c>
      <c r="BA38" s="4" t="s">
        <v>34</v>
      </c>
      <c r="BB38" s="4"/>
    </row>
    <row r="39" spans="2:54" x14ac:dyDescent="0.2">
      <c r="C39" s="35" t="s">
        <v>99</v>
      </c>
      <c r="D39" s="61"/>
      <c r="E39" s="61"/>
      <c r="F39" s="35"/>
      <c r="G39" s="35"/>
      <c r="H39" s="35"/>
      <c r="W39" s="361" t="s">
        <v>215</v>
      </c>
      <c r="X39" s="362"/>
      <c r="Z39" s="211" t="s">
        <v>216</v>
      </c>
      <c r="AA39" s="387" t="s">
        <v>217</v>
      </c>
      <c r="AB39" s="200">
        <f t="shared" ref="AB39:AI39" si="41">IF((MINUTE(AB38)&gt;=30),(AB38+0.041666667),AB38)</f>
        <v>0</v>
      </c>
      <c r="AC39" s="200">
        <f t="shared" si="41"/>
        <v>0</v>
      </c>
      <c r="AD39" s="200">
        <f t="shared" si="41"/>
        <v>0</v>
      </c>
      <c r="AE39" s="200">
        <f t="shared" si="41"/>
        <v>0</v>
      </c>
      <c r="AF39" s="200">
        <f t="shared" si="41"/>
        <v>0</v>
      </c>
      <c r="AG39" s="200">
        <f t="shared" si="41"/>
        <v>0</v>
      </c>
      <c r="AH39" s="200">
        <f t="shared" si="41"/>
        <v>0</v>
      </c>
      <c r="AI39" s="200">
        <f t="shared" si="41"/>
        <v>0</v>
      </c>
      <c r="AK39" s="200">
        <f>IF((MINUTE(AK38)&gt;=30),(AK38+0.041666667),AK38)</f>
        <v>0</v>
      </c>
      <c r="AM39" s="97">
        <f>AM38*(6.7*AA40)</f>
        <v>0</v>
      </c>
      <c r="AN39" s="39">
        <f>SUM(AN7:AN37)</f>
        <v>0</v>
      </c>
      <c r="AO39" s="7"/>
      <c r="AP39" s="4"/>
      <c r="AQ39" s="4"/>
      <c r="AR39" s="4"/>
      <c r="AS39" s="4"/>
      <c r="AT39" s="4"/>
      <c r="AU39" s="4"/>
      <c r="AW39" s="28"/>
      <c r="AZ39" s="7">
        <f>IF((S40="O6")*AND(S41&lt;&gt;""),VLOOKUP(S41,Échelle!$AF$39:$AG$65,2),)</f>
        <v>0</v>
      </c>
      <c r="BA39" s="4" t="s">
        <v>27</v>
      </c>
      <c r="BB39" s="4"/>
    </row>
    <row r="40" spans="2:54" x14ac:dyDescent="0.2">
      <c r="C40" s="62" t="s">
        <v>218</v>
      </c>
      <c r="D40" s="63"/>
      <c r="E40" s="63"/>
      <c r="F40" s="65"/>
      <c r="G40" s="64"/>
      <c r="H40" s="41">
        <f>Avr!$H$44</f>
        <v>33</v>
      </c>
      <c r="J40" s="12" t="s">
        <v>408</v>
      </c>
      <c r="K40" s="13"/>
      <c r="L40" s="14"/>
      <c r="M40" s="13"/>
      <c r="N40" s="13"/>
      <c r="O40" s="13"/>
      <c r="P40" s="14"/>
      <c r="Q40" s="14"/>
      <c r="R40" s="145"/>
      <c r="S40" s="163" t="s">
        <v>6</v>
      </c>
      <c r="T40" s="359" t="s">
        <v>220</v>
      </c>
      <c r="U40" s="360"/>
      <c r="V40" s="360"/>
      <c r="W40" s="268">
        <v>1</v>
      </c>
      <c r="X40" s="267" t="s">
        <v>221</v>
      </c>
      <c r="Z40" s="214">
        <v>1.7758</v>
      </c>
      <c r="AA40" s="388">
        <f>Z40</f>
        <v>1.7758</v>
      </c>
      <c r="AB40" s="200">
        <f t="shared" ref="AB40:AI40" si="42">IF(MINUTE(AB39)&gt;0,FLOOR(AB39,0.041666667),AB39)</f>
        <v>0</v>
      </c>
      <c r="AC40" s="200">
        <f t="shared" si="42"/>
        <v>0</v>
      </c>
      <c r="AD40" s="200">
        <f t="shared" si="42"/>
        <v>0</v>
      </c>
      <c r="AE40" s="200">
        <f t="shared" si="42"/>
        <v>0</v>
      </c>
      <c r="AF40" s="200">
        <f t="shared" si="42"/>
        <v>0</v>
      </c>
      <c r="AG40" s="200">
        <f t="shared" si="42"/>
        <v>0</v>
      </c>
      <c r="AH40" s="200">
        <f t="shared" si="42"/>
        <v>0</v>
      </c>
      <c r="AI40" s="200">
        <f t="shared" si="42"/>
        <v>0</v>
      </c>
      <c r="AK40" s="222">
        <f>IF(MINUTE(AK39)&gt;0,FLOOR(AK39,0.041666667),AK39)</f>
        <v>0</v>
      </c>
      <c r="AL40" s="4"/>
      <c r="AM40" s="4"/>
      <c r="AO40" s="4"/>
      <c r="AP40" s="4"/>
      <c r="AQ40" s="4"/>
      <c r="AR40" s="4"/>
      <c r="AS40" s="4"/>
      <c r="AT40" s="4"/>
      <c r="AU40" s="4"/>
      <c r="AZ40" s="7">
        <f>IF((S40="O6ir")*AND(S41&lt;&gt;""),VLOOKUP(S41,Échelle!$BD$39:$BE$65,2),)</f>
        <v>0</v>
      </c>
      <c r="BA40" s="4" t="s">
        <v>35</v>
      </c>
      <c r="BB40" s="4"/>
    </row>
    <row r="41" spans="2:54" ht="13.5" thickBot="1" x14ac:dyDescent="0.25">
      <c r="C41" s="62" t="s">
        <v>222</v>
      </c>
      <c r="D41" s="63"/>
      <c r="E41" s="63"/>
      <c r="F41" s="65"/>
      <c r="G41" s="64"/>
      <c r="H41" s="118">
        <v>0</v>
      </c>
      <c r="J41" s="15" t="s">
        <v>409</v>
      </c>
      <c r="K41" s="16"/>
      <c r="L41" s="17"/>
      <c r="M41" s="16"/>
      <c r="N41" s="16"/>
      <c r="O41" s="16"/>
      <c r="P41" s="17"/>
      <c r="Q41" s="17"/>
      <c r="R41" s="154"/>
      <c r="S41" s="162">
        <v>20</v>
      </c>
      <c r="T41" s="366">
        <f>AZ44</f>
        <v>24661</v>
      </c>
      <c r="U41" s="367"/>
      <c r="V41" s="368"/>
      <c r="W41" s="317">
        <v>21822</v>
      </c>
      <c r="X41" s="317">
        <v>21498.68</v>
      </c>
      <c r="Z41" s="47"/>
      <c r="AA41" s="47"/>
      <c r="AF41" s="123"/>
      <c r="AG41" s="22"/>
      <c r="AH41" s="13" t="s">
        <v>229</v>
      </c>
      <c r="AI41" s="13"/>
      <c r="AJ41" s="124"/>
      <c r="AK41" s="13" t="s">
        <v>231</v>
      </c>
      <c r="AL41" s="13"/>
      <c r="AM41" s="124"/>
      <c r="AP41" s="4"/>
      <c r="AQ41" s="4"/>
      <c r="AR41" s="4"/>
      <c r="AS41" s="4"/>
      <c r="AT41" s="4"/>
      <c r="AU41" s="4"/>
      <c r="AZ41" s="7">
        <f>IF((S40="O7")*AND(S41&lt;&gt;""),VLOOKUP(S41,Échelle!$AI$39:$AJ$65,2),)</f>
        <v>0</v>
      </c>
      <c r="BA41" s="4" t="s">
        <v>28</v>
      </c>
      <c r="BB41" s="2"/>
    </row>
    <row r="42" spans="2:54" ht="13.5" thickTop="1" x14ac:dyDescent="0.2">
      <c r="C42" s="62" t="s">
        <v>224</v>
      </c>
      <c r="D42" s="228"/>
      <c r="E42" s="228"/>
      <c r="F42" s="144"/>
      <c r="G42" s="144"/>
      <c r="H42" s="115">
        <f>AN39</f>
        <v>0</v>
      </c>
      <c r="I42" s="45"/>
      <c r="J42" s="18" t="s">
        <v>225</v>
      </c>
      <c r="K42" s="4"/>
      <c r="L42" s="98"/>
      <c r="M42" s="223">
        <f>AK40</f>
        <v>0</v>
      </c>
      <c r="N42" s="35" t="s">
        <v>226</v>
      </c>
      <c r="O42" s="75"/>
      <c r="P42" s="47"/>
      <c r="Q42" s="47"/>
      <c r="R42" s="26"/>
      <c r="S42" s="21"/>
      <c r="T42" s="103"/>
      <c r="U42" s="157">
        <f>IF(X3="x",(M42*AK43/0.041666667),0)</f>
        <v>0</v>
      </c>
      <c r="V42" s="26" t="s">
        <v>227</v>
      </c>
      <c r="W42" s="160">
        <f>IF(Z3="x",(M42*AH43/0.041666667),0)</f>
        <v>0</v>
      </c>
      <c r="X42" s="26" t="s">
        <v>227</v>
      </c>
      <c r="Z42" s="216" t="s">
        <v>228</v>
      </c>
      <c r="AA42" s="217"/>
      <c r="AF42" s="45"/>
      <c r="AG42" s="283"/>
      <c r="AH42" s="21">
        <f>X41*1.2434/1850</f>
        <v>14.449437141621623</v>
      </c>
      <c r="AI42" s="21"/>
      <c r="AJ42" s="48"/>
      <c r="AK42" s="21">
        <f>T41*AA40/1850</f>
        <v>23.671893945945946</v>
      </c>
      <c r="AL42" s="21" t="s">
        <v>230</v>
      </c>
      <c r="AM42" s="48"/>
      <c r="AP42" s="4"/>
      <c r="AQ42" s="4"/>
      <c r="AR42" s="4"/>
      <c r="AS42" s="4"/>
      <c r="AT42" s="4"/>
      <c r="AU42" s="4"/>
      <c r="AZ42" s="7">
        <f>IF((S40="O8")*AND(S41&lt;&gt;""),VLOOKUP(S41,Échelle!$AL$39:$AM$68,2),)</f>
        <v>0</v>
      </c>
      <c r="BA42" s="4" t="s">
        <v>29</v>
      </c>
      <c r="BB42" s="2"/>
    </row>
    <row r="43" spans="2:54" x14ac:dyDescent="0.2">
      <c r="C43" s="62" t="s">
        <v>232</v>
      </c>
      <c r="D43" s="63"/>
      <c r="E43" s="63"/>
      <c r="F43" s="65"/>
      <c r="G43" s="303" t="s">
        <v>233</v>
      </c>
      <c r="H43" s="41">
        <f>AB43+(AB44/2)+(AB45/2)</f>
        <v>0</v>
      </c>
      <c r="J43" s="18" t="s">
        <v>234</v>
      </c>
      <c r="K43" s="4"/>
      <c r="L43" s="47"/>
      <c r="M43" s="224">
        <f>IF(Z3="x",AD40,)</f>
        <v>0</v>
      </c>
      <c r="N43" s="35" t="s">
        <v>226</v>
      </c>
      <c r="O43" s="75"/>
      <c r="P43" s="47"/>
      <c r="Q43" s="47"/>
      <c r="R43" s="26"/>
      <c r="S43" s="21"/>
      <c r="T43" s="103"/>
      <c r="U43" s="158"/>
      <c r="V43" s="26"/>
      <c r="W43" s="160">
        <f>IF(Z3="x",(M43*AH51/0.041666667),0)</f>
        <v>0</v>
      </c>
      <c r="X43" s="26"/>
      <c r="Z43" s="218" t="s">
        <v>235</v>
      </c>
      <c r="AA43" s="219"/>
      <c r="AB43" s="4">
        <f>COUNTIF(AL7:AL37,"1")</f>
        <v>0</v>
      </c>
      <c r="AE43" s="4">
        <f>M46*78</f>
        <v>0</v>
      </c>
      <c r="AF43" s="45"/>
      <c r="AG43" s="190" t="s">
        <v>155</v>
      </c>
      <c r="AH43" s="21">
        <f>AH42*0.9645*AK49/100*1.45</f>
        <v>9.8048726328815921</v>
      </c>
      <c r="AI43" s="21"/>
      <c r="AJ43" s="48"/>
      <c r="AK43" s="213">
        <f>(AK42*0.9645)*AK49/100</f>
        <v>11.077864038111635</v>
      </c>
      <c r="AL43" s="20" t="s">
        <v>236</v>
      </c>
      <c r="AM43" s="55"/>
      <c r="AP43" s="4"/>
      <c r="AQ43" s="4"/>
      <c r="AR43" s="4"/>
      <c r="AS43" s="4"/>
      <c r="AT43" s="4"/>
      <c r="AU43" s="4"/>
      <c r="AZ43" s="7">
        <f>IF((S40=Échelle!CB3)*AND(S41&lt;&gt;""),VLOOKUP(S41,Échelle!$CB$5:$CC$38,2),)</f>
        <v>0</v>
      </c>
      <c r="BA43" s="4" t="s">
        <v>237</v>
      </c>
      <c r="BB43" s="2"/>
    </row>
    <row r="44" spans="2:54" x14ac:dyDescent="0.2">
      <c r="C44" s="304"/>
      <c r="D44" s="66"/>
      <c r="E44" s="66"/>
      <c r="F44" s="67"/>
      <c r="G44" s="68"/>
      <c r="H44" s="73"/>
      <c r="J44" s="18" t="s">
        <v>238</v>
      </c>
      <c r="K44" s="46"/>
      <c r="L44" s="46"/>
      <c r="M44" s="224">
        <f>IF(X3="x",AF40,)</f>
        <v>0</v>
      </c>
      <c r="N44" s="35" t="s">
        <v>226</v>
      </c>
      <c r="O44" s="21"/>
      <c r="P44" s="21"/>
      <c r="Q44" s="21"/>
      <c r="R44" s="21"/>
      <c r="S44" s="18"/>
      <c r="T44" s="103"/>
      <c r="U44" s="158">
        <f>IF(X3="x",(M44*AK51/0.041666667),0)</f>
        <v>0</v>
      </c>
      <c r="V44" s="26" t="s">
        <v>227</v>
      </c>
      <c r="W44" s="160"/>
      <c r="X44" s="26" t="s">
        <v>227</v>
      </c>
      <c r="Z44" s="221">
        <f>AK48</f>
        <v>51.48</v>
      </c>
      <c r="AA44" s="220"/>
      <c r="AB44" s="4">
        <f>COUNTIF(AL7:AL37,"2")</f>
        <v>0</v>
      </c>
      <c r="AE44" s="4">
        <f>M47*23</f>
        <v>0</v>
      </c>
      <c r="AF44" s="53"/>
      <c r="AG44" s="20" t="s">
        <v>239</v>
      </c>
      <c r="AH44" s="197">
        <f>(W41*1.2434/1850)*0.009645*AK49</f>
        <v>6.8636749853621204</v>
      </c>
      <c r="AI44" s="197"/>
      <c r="AJ44" s="55"/>
      <c r="AK44" s="4">
        <v>1.24</v>
      </c>
      <c r="AL44" s="4" t="s">
        <v>240</v>
      </c>
      <c r="AP44" s="4"/>
      <c r="AQ44" s="4"/>
      <c r="AR44" s="4"/>
      <c r="AS44" s="4"/>
      <c r="AT44" s="4"/>
      <c r="AU44" s="4"/>
      <c r="AZ44" s="4">
        <f>SUM(AZ7:AZ43)</f>
        <v>24661</v>
      </c>
      <c r="BB44" s="2"/>
    </row>
    <row r="45" spans="2:54" x14ac:dyDescent="0.2">
      <c r="C45" s="69" t="s">
        <v>241</v>
      </c>
      <c r="D45" s="70"/>
      <c r="E45" s="70"/>
      <c r="F45" s="71"/>
      <c r="G45" s="72"/>
      <c r="H45" s="74">
        <f>H40-H43+H41+H42</f>
        <v>33</v>
      </c>
      <c r="J45" s="18" t="s">
        <v>242</v>
      </c>
      <c r="K45" s="46"/>
      <c r="L45" s="46"/>
      <c r="M45" s="224">
        <f>IF(X3="x",AG40,)</f>
        <v>0</v>
      </c>
      <c r="N45" s="35" t="s">
        <v>226</v>
      </c>
      <c r="O45" s="21"/>
      <c r="P45" s="21"/>
      <c r="Q45" s="21"/>
      <c r="R45" s="21"/>
      <c r="S45" s="18"/>
      <c r="T45" s="103"/>
      <c r="U45" s="158">
        <f>IF(X3="x",(M45*AK52/0.041666667),0)</f>
        <v>0</v>
      </c>
      <c r="V45" s="26" t="s">
        <v>227</v>
      </c>
      <c r="W45" s="160"/>
      <c r="X45" s="26" t="s">
        <v>227</v>
      </c>
      <c r="Y45" s="47"/>
      <c r="Z45" s="47"/>
      <c r="AA45" s="47"/>
      <c r="AB45" s="4">
        <f>COUNTIF(AL7:AL37,"7")</f>
        <v>0</v>
      </c>
      <c r="AG45" s="4"/>
      <c r="AH45" s="4"/>
      <c r="AI45" s="4"/>
      <c r="AK45" s="4">
        <v>2.48</v>
      </c>
      <c r="AL45" s="4" t="s">
        <v>169</v>
      </c>
      <c r="BB45" s="2"/>
    </row>
    <row r="46" spans="2:54" x14ac:dyDescent="0.2">
      <c r="J46" s="18" t="s">
        <v>243</v>
      </c>
      <c r="K46" s="4"/>
      <c r="L46" s="47"/>
      <c r="M46" s="100">
        <f>COUNTIF(Q7:Q37,"1")</f>
        <v>0</v>
      </c>
      <c r="N46" s="18" t="s">
        <v>244</v>
      </c>
      <c r="O46" s="4"/>
      <c r="P46" s="47"/>
      <c r="Q46" s="47"/>
      <c r="R46" s="26">
        <f>COUNTIF(Q7:Q37,"2")</f>
        <v>0</v>
      </c>
      <c r="S46" s="21"/>
      <c r="T46" s="103"/>
      <c r="U46" s="158">
        <f>IF(X3="x",(M46*AK45*AA40+(R46*AA40*6.2)),0)</f>
        <v>0</v>
      </c>
      <c r="V46" s="26" t="s">
        <v>227</v>
      </c>
      <c r="W46" s="158">
        <f>IF(Z3="x",(M46*AK45*AA40+(R46*AA40*6.2)),0)</f>
        <v>0</v>
      </c>
      <c r="X46" s="26" t="s">
        <v>227</v>
      </c>
      <c r="Y46" s="47"/>
      <c r="Z46" s="47"/>
      <c r="AA46" s="47"/>
      <c r="AB46" s="4" t="s">
        <v>375</v>
      </c>
      <c r="AC46" s="4"/>
      <c r="AF46" s="4">
        <f>M51*23</f>
        <v>0</v>
      </c>
      <c r="AG46" s="4"/>
      <c r="AH46" s="4"/>
      <c r="AI46" s="4"/>
      <c r="AK46" s="4">
        <v>2.48</v>
      </c>
      <c r="AL46" s="4" t="s">
        <v>170</v>
      </c>
      <c r="BB46" s="2"/>
    </row>
    <row r="47" spans="2:54" x14ac:dyDescent="0.2">
      <c r="C47" s="35" t="s">
        <v>306</v>
      </c>
      <c r="F47" s="4"/>
      <c r="G47" s="109" t="s">
        <v>307</v>
      </c>
      <c r="H47" s="109" t="s">
        <v>308</v>
      </c>
      <c r="J47" s="18" t="s">
        <v>249</v>
      </c>
      <c r="K47" s="21"/>
      <c r="L47" s="47"/>
      <c r="M47" s="100">
        <f>COUNTIF(R7:R37,"1")</f>
        <v>0</v>
      </c>
      <c r="N47" s="18" t="s">
        <v>250</v>
      </c>
      <c r="O47" s="21"/>
      <c r="P47" s="47"/>
      <c r="Q47" s="47"/>
      <c r="R47" s="26">
        <f>COUNTIF(R7:R37,"2")</f>
        <v>0</v>
      </c>
      <c r="S47" s="21"/>
      <c r="T47" s="103"/>
      <c r="U47" s="158">
        <f>IF(X3="x",(M47*AK46*AA40+(R47*AA40*6.2)),0)</f>
        <v>0</v>
      </c>
      <c r="V47" s="26" t="s">
        <v>227</v>
      </c>
      <c r="W47" s="158">
        <f>IF(Z3="x",(M47*AK46*AA40+(R47*AA40*6.2)),0)</f>
        <v>0</v>
      </c>
      <c r="X47" s="26" t="s">
        <v>227</v>
      </c>
      <c r="Y47" s="47"/>
      <c r="Z47" s="47"/>
      <c r="AA47" s="47"/>
      <c r="AB47" s="7">
        <f>IF((M37-N37-U4)&gt;0,(M37-N37-U4-G55),)</f>
        <v>0</v>
      </c>
      <c r="AC47" s="7">
        <f>IF((MINUTE(AB47)&gt;=30),(0.041666667),)</f>
        <v>0</v>
      </c>
      <c r="AD47" s="7">
        <f>AB47+AC47</f>
        <v>0</v>
      </c>
      <c r="AE47" s="7">
        <f>AD47</f>
        <v>0</v>
      </c>
      <c r="AG47" s="4"/>
      <c r="AH47" s="4"/>
      <c r="AI47" s="4"/>
      <c r="AK47" s="4">
        <v>1.74</v>
      </c>
      <c r="AL47" s="4" t="s">
        <v>251</v>
      </c>
      <c r="BB47" s="2"/>
    </row>
    <row r="48" spans="2:54" x14ac:dyDescent="0.2">
      <c r="C48" s="35" t="s">
        <v>252</v>
      </c>
      <c r="G48" s="127"/>
      <c r="H48" s="127" t="s">
        <v>117</v>
      </c>
      <c r="J48" s="18" t="s">
        <v>253</v>
      </c>
      <c r="K48" s="47"/>
      <c r="L48" s="150"/>
      <c r="M48" s="4">
        <f>COUNTIF(S7:S37,"1")</f>
        <v>0</v>
      </c>
      <c r="N48" s="18" t="s">
        <v>254</v>
      </c>
      <c r="O48" s="4"/>
      <c r="P48" s="4"/>
      <c r="Q48" s="21"/>
      <c r="R48" s="26">
        <f>COUNTIF(S7:S37,"2")</f>
        <v>0</v>
      </c>
      <c r="S48" s="21"/>
      <c r="T48" s="153"/>
      <c r="U48" s="158">
        <f>IF(X3="x",(M48*AK47*AA40+(R48*AA40*3.48)),0)</f>
        <v>0</v>
      </c>
      <c r="V48" s="26" t="s">
        <v>227</v>
      </c>
      <c r="W48" s="158">
        <f>IF(Z3="x",(M48*AK47*AA40+(R48*AA40*3.48)),0)</f>
        <v>0</v>
      </c>
      <c r="X48" s="26" t="s">
        <v>227</v>
      </c>
      <c r="AB48" s="7"/>
      <c r="AC48" s="7"/>
      <c r="AD48" s="7"/>
      <c r="AE48" s="7">
        <f>HOUR(AE47)</f>
        <v>0</v>
      </c>
      <c r="AG48" s="4"/>
      <c r="AH48" s="4"/>
      <c r="AI48" s="4"/>
      <c r="AK48" s="4">
        <f>VLOOKUP(AS48,Données!$F$74:$H$85,3)</f>
        <v>51.48</v>
      </c>
      <c r="AL48" s="4" t="s">
        <v>255</v>
      </c>
      <c r="AP48" s="385">
        <f>T41*Z40</f>
        <v>43793.003799999999</v>
      </c>
      <c r="AQ48" s="2">
        <f>AP48*0.075</f>
        <v>3284.475285</v>
      </c>
      <c r="AR48" s="2">
        <f>AP48*0.0355</f>
        <v>1554.6516348999999</v>
      </c>
      <c r="AS48" s="225">
        <f>AP48-AQ48-AR48</f>
        <v>38953.876880099997</v>
      </c>
      <c r="BB48" s="2"/>
    </row>
    <row r="49" spans="3:54" x14ac:dyDescent="0.2">
      <c r="J49" s="18" t="s">
        <v>256</v>
      </c>
      <c r="K49" s="47"/>
      <c r="L49" s="150"/>
      <c r="M49" s="4">
        <f>COUNTIF(T7:T37,"1")</f>
        <v>0</v>
      </c>
      <c r="N49" s="18" t="s">
        <v>257</v>
      </c>
      <c r="O49" s="4"/>
      <c r="P49" s="4"/>
      <c r="Q49" s="21"/>
      <c r="R49" s="26">
        <f>COUNTIF(T7:T37,"2")</f>
        <v>0</v>
      </c>
      <c r="S49" s="21"/>
      <c r="T49" s="153"/>
      <c r="U49" s="158">
        <f>IF(X3="x",(M49*AK44*AA40+(R49*AA40*2.48)),0)</f>
        <v>0</v>
      </c>
      <c r="V49" s="26" t="s">
        <v>227</v>
      </c>
      <c r="W49" s="158">
        <f>IF(Z3="x",(M49*AK44*AA40+(R49*AA40*2.48)),0)</f>
        <v>0</v>
      </c>
      <c r="X49" s="26" t="s">
        <v>227</v>
      </c>
      <c r="AB49" s="7">
        <f>HOUR(AD47)*0.041666667</f>
        <v>0</v>
      </c>
      <c r="AD49" s="7"/>
      <c r="AG49" s="4"/>
      <c r="AH49" s="4"/>
      <c r="AI49" s="4"/>
      <c r="AK49" s="4">
        <f>100-AK48</f>
        <v>48.52</v>
      </c>
      <c r="AL49" s="4" t="s">
        <v>258</v>
      </c>
      <c r="BB49" s="2"/>
    </row>
    <row r="50" spans="3:54" x14ac:dyDescent="0.2">
      <c r="C50" s="4" t="s">
        <v>259</v>
      </c>
      <c r="F50" s="4"/>
      <c r="G50" s="4"/>
      <c r="J50" s="18" t="s">
        <v>260</v>
      </c>
      <c r="K50" s="39"/>
      <c r="L50" s="4"/>
      <c r="M50" s="224">
        <f>IF(AND(O37="+",G48="x",AB47&gt;=0),AB51,0)</f>
        <v>0</v>
      </c>
      <c r="N50" s="35" t="s">
        <v>226</v>
      </c>
      <c r="O50" s="75"/>
      <c r="P50" s="47"/>
      <c r="Q50" s="47"/>
      <c r="R50" s="26"/>
      <c r="S50" s="21"/>
      <c r="T50" s="103"/>
      <c r="U50" s="158">
        <f>IF(X3="x",(M50*AK43/0.041666667),0)</f>
        <v>0</v>
      </c>
      <c r="V50" s="26" t="s">
        <v>227</v>
      </c>
      <c r="W50" s="160">
        <f>IF(Z3="x",(M50*AH44/0.041666667),0)</f>
        <v>0</v>
      </c>
      <c r="X50" s="26" t="s">
        <v>227</v>
      </c>
      <c r="AB50" s="7"/>
      <c r="AD50" s="96"/>
      <c r="AG50" s="4"/>
      <c r="AH50" s="4"/>
      <c r="AI50" s="4"/>
      <c r="BB50" s="2"/>
    </row>
    <row r="51" spans="3:54" x14ac:dyDescent="0.2">
      <c r="C51" s="4" t="s">
        <v>261</v>
      </c>
      <c r="F51" s="4"/>
      <c r="G51" s="215">
        <v>0</v>
      </c>
      <c r="J51" s="18" t="s">
        <v>262</v>
      </c>
      <c r="K51" s="47"/>
      <c r="L51" s="21"/>
      <c r="M51" s="177">
        <f>AM38</f>
        <v>0</v>
      </c>
      <c r="N51" s="188" t="s">
        <v>263</v>
      </c>
      <c r="O51" s="153"/>
      <c r="P51" s="47"/>
      <c r="Q51" s="47"/>
      <c r="R51" s="26"/>
      <c r="S51" s="21"/>
      <c r="T51" s="153"/>
      <c r="U51" s="158">
        <f>IF(X3="x",AM39,0)</f>
        <v>0</v>
      </c>
      <c r="V51" s="26" t="s">
        <v>227</v>
      </c>
      <c r="W51" s="160">
        <f>IF(Z3="x",AM39,0)</f>
        <v>0</v>
      </c>
      <c r="X51" s="26" t="s">
        <v>227</v>
      </c>
      <c r="AB51" s="7">
        <f>IF(MINUTE(AB47)&gt;0,FLOOR(AE47,0.041666667),AE47)</f>
        <v>0</v>
      </c>
      <c r="AC51" s="96"/>
      <c r="AD51" s="96"/>
      <c r="AF51" s="7"/>
      <c r="AG51" s="4" t="s">
        <v>161</v>
      </c>
      <c r="AH51" s="4">
        <f>AH42*0.00325*0.9645*AK49</f>
        <v>2.1976438659907016</v>
      </c>
      <c r="AI51" s="4"/>
      <c r="AK51" s="97">
        <f>AK43/100*20</f>
        <v>2.2155728076223271</v>
      </c>
      <c r="AL51" s="4" t="s">
        <v>264</v>
      </c>
      <c r="BB51" s="2"/>
    </row>
    <row r="52" spans="3:54" x14ac:dyDescent="0.2">
      <c r="C52" s="245" t="s">
        <v>265</v>
      </c>
      <c r="J52" s="18" t="s">
        <v>266</v>
      </c>
      <c r="K52" s="47"/>
      <c r="L52" s="21"/>
      <c r="M52" s="312">
        <f>SUM(AA7:AA37)</f>
        <v>0</v>
      </c>
      <c r="N52" s="188" t="s">
        <v>267</v>
      </c>
      <c r="O52" s="21"/>
      <c r="P52" s="21"/>
      <c r="Q52" s="21"/>
      <c r="R52" s="21"/>
      <c r="S52" s="18"/>
      <c r="T52" s="187"/>
      <c r="U52" s="158">
        <f>IF(X3="x",(M52*Données!$T$13),0)</f>
        <v>0</v>
      </c>
      <c r="V52" s="26" t="s">
        <v>227</v>
      </c>
      <c r="W52" s="160">
        <f>IF(Z3="x",M52*0.2,0)</f>
        <v>0</v>
      </c>
      <c r="X52" s="26" t="s">
        <v>227</v>
      </c>
      <c r="AK52" s="97">
        <f>AK43/100*35</f>
        <v>3.8772524133390722</v>
      </c>
      <c r="AL52" s="4" t="s">
        <v>268</v>
      </c>
      <c r="BB52" s="2"/>
    </row>
    <row r="53" spans="3:54" x14ac:dyDescent="0.2">
      <c r="J53" s="18" t="s">
        <v>269</v>
      </c>
      <c r="K53" s="21"/>
      <c r="L53" s="21"/>
      <c r="M53" s="224">
        <f>AH54</f>
        <v>0</v>
      </c>
      <c r="N53" s="35" t="s">
        <v>226</v>
      </c>
      <c r="O53" s="21"/>
      <c r="P53" s="21"/>
      <c r="Q53" s="21"/>
      <c r="R53" s="21"/>
      <c r="S53" s="18"/>
      <c r="T53" s="153"/>
      <c r="U53" s="158">
        <f>IF(X3="x",(M53*AK54/0.041666667),0)</f>
        <v>0</v>
      </c>
      <c r="V53" s="26" t="s">
        <v>227</v>
      </c>
      <c r="W53" s="158">
        <f>IF(Z3="x",(M53*AK54/0.041666667),0)</f>
        <v>0</v>
      </c>
      <c r="X53" s="26" t="s">
        <v>227</v>
      </c>
      <c r="AK53" s="225"/>
      <c r="BB53" s="2"/>
    </row>
    <row r="54" spans="3:54" x14ac:dyDescent="0.2">
      <c r="C54" s="35" t="s">
        <v>270</v>
      </c>
      <c r="J54" s="18" t="s">
        <v>271</v>
      </c>
      <c r="K54" s="21"/>
      <c r="L54" s="21"/>
      <c r="M54" s="224">
        <f>AH55</f>
        <v>0</v>
      </c>
      <c r="N54" s="188" t="s">
        <v>226</v>
      </c>
      <c r="O54" s="21"/>
      <c r="P54" s="21"/>
      <c r="Q54" s="21"/>
      <c r="R54" s="21"/>
      <c r="S54" s="18"/>
      <c r="T54" s="153"/>
      <c r="U54" s="158">
        <f>IF(X3="x",(M54*AK55/0.041666667),0)</f>
        <v>0</v>
      </c>
      <c r="V54" s="26" t="s">
        <v>227</v>
      </c>
      <c r="W54" s="158">
        <f>IF(Z3="x",(M54*AK55/0.041666667),0)</f>
        <v>0</v>
      </c>
      <c r="X54" s="26" t="s">
        <v>227</v>
      </c>
      <c r="AE54" s="285">
        <f>SUM(Y7:Y37)</f>
        <v>0</v>
      </c>
      <c r="AF54" s="196">
        <f>IF(MINUTE(AE54)&gt;=30,AE54+0.041666667,AE54)</f>
        <v>0</v>
      </c>
      <c r="AG54" s="196"/>
      <c r="AH54" s="13">
        <f>IF(MINUTE(AF54)&gt;0,FLOOR(AF54,0.041666667),AF54)</f>
        <v>0</v>
      </c>
      <c r="AI54" s="13"/>
      <c r="AJ54" s="196"/>
      <c r="AK54" s="212">
        <f>AK43/24</f>
        <v>0.46157766825465146</v>
      </c>
      <c r="AL54" s="13" t="s">
        <v>272</v>
      </c>
      <c r="AM54" s="13"/>
      <c r="AN54" s="13"/>
      <c r="AO54" s="13"/>
      <c r="AP54" s="121"/>
      <c r="BB54" s="2"/>
    </row>
    <row r="55" spans="3:54" x14ac:dyDescent="0.2">
      <c r="C55" s="35" t="s">
        <v>261</v>
      </c>
      <c r="G55" s="198">
        <v>0</v>
      </c>
      <c r="J55" s="19" t="s">
        <v>273</v>
      </c>
      <c r="K55" s="20"/>
      <c r="L55" s="99"/>
      <c r="M55" s="318">
        <f>AU38</f>
        <v>0</v>
      </c>
      <c r="N55" s="20" t="s">
        <v>263</v>
      </c>
      <c r="O55" s="20"/>
      <c r="P55" s="20"/>
      <c r="Q55" s="20"/>
      <c r="R55" s="20"/>
      <c r="S55" s="19"/>
      <c r="T55" s="20"/>
      <c r="U55" s="159">
        <f>IF(X3="x",(M55*(2.81*AA40))/100*(100-Z44),0)</f>
        <v>0</v>
      </c>
      <c r="V55" s="27" t="s">
        <v>227</v>
      </c>
      <c r="W55" s="159">
        <f>IF(Z3="x",(M55*(2.81*AA40))/100*(100-Z44),0)</f>
        <v>0</v>
      </c>
      <c r="X55" s="27" t="s">
        <v>227</v>
      </c>
      <c r="AE55" s="286">
        <f>SUM(Z7:Z37)</f>
        <v>0</v>
      </c>
      <c r="AF55" s="197">
        <f>IF(MINUTE(AE55)&gt;=30,AE55+0.041666667,AE55)</f>
        <v>0</v>
      </c>
      <c r="AG55" s="197"/>
      <c r="AH55" s="20">
        <f>IF(MINUTE(AF55)&gt;0,FLOOR(AF55,0.041666667),AF55)</f>
        <v>0</v>
      </c>
      <c r="AI55" s="20"/>
      <c r="AJ55" s="197"/>
      <c r="AK55" s="213">
        <f>AK43/15</f>
        <v>0.7385242692074423</v>
      </c>
      <c r="AL55" s="20" t="s">
        <v>274</v>
      </c>
      <c r="AM55" s="20"/>
      <c r="AN55" s="20"/>
      <c r="AO55" s="20"/>
      <c r="AP55" s="119"/>
      <c r="BB55" s="2"/>
    </row>
    <row r="56" spans="3:54" x14ac:dyDescent="0.2">
      <c r="C56" s="245" t="s">
        <v>265</v>
      </c>
      <c r="E56" s="21"/>
      <c r="F56" s="47"/>
      <c r="G56" s="21"/>
      <c r="L56" s="104" t="s">
        <v>275</v>
      </c>
      <c r="M56" s="104"/>
      <c r="N56" s="19"/>
      <c r="O56" s="105"/>
      <c r="P56" s="99"/>
      <c r="Q56" s="99"/>
      <c r="R56" s="27"/>
      <c r="S56" s="20"/>
      <c r="T56" s="106"/>
      <c r="U56" s="159">
        <f>IF(X3="x",(SUM(U42:U55)),0)</f>
        <v>0</v>
      </c>
      <c r="V56" s="27" t="s">
        <v>227</v>
      </c>
      <c r="W56" s="159">
        <f>IF(Z3="x",(SUM(W42:W55)),0)</f>
        <v>0</v>
      </c>
      <c r="X56" s="27" t="s">
        <v>227</v>
      </c>
      <c r="BB56" s="2"/>
    </row>
    <row r="62" spans="3:54" x14ac:dyDescent="0.2">
      <c r="E62" s="32"/>
      <c r="F62" s="58"/>
      <c r="G62" s="32"/>
      <c r="H62" s="32"/>
      <c r="I62" s="32"/>
      <c r="J62" s="32"/>
      <c r="K62" s="32"/>
      <c r="L62" s="135"/>
      <c r="M62" s="191"/>
      <c r="N62" s="32"/>
      <c r="O62" s="30"/>
      <c r="P62" s="30"/>
      <c r="Q62" s="30"/>
      <c r="R62" s="32"/>
      <c r="S62" s="1"/>
      <c r="T62" s="1"/>
      <c r="U62" s="32"/>
      <c r="V62" s="32"/>
      <c r="W62" s="192"/>
      <c r="X62" s="30"/>
    </row>
    <row r="63" spans="3:54" x14ac:dyDescent="0.2">
      <c r="E63" s="32"/>
      <c r="F63" s="58"/>
      <c r="G63" s="32"/>
      <c r="H63" s="32"/>
      <c r="I63" s="32"/>
      <c r="J63" s="32"/>
      <c r="K63" s="32"/>
      <c r="L63" s="135"/>
      <c r="M63" s="191"/>
      <c r="N63" s="32"/>
      <c r="O63" s="30"/>
      <c r="P63" s="30"/>
      <c r="Q63" s="30"/>
      <c r="R63" s="32"/>
      <c r="S63" s="1"/>
      <c r="T63" s="1"/>
      <c r="U63" s="32"/>
      <c r="V63" s="32"/>
      <c r="W63" s="193"/>
      <c r="X63" s="32"/>
    </row>
  </sheetData>
  <sheetProtection algorithmName="SHA-512" hashValue="07FOQQUbXWxOtvnImMC88ykNaK/k34BowGo7OT8zsaB4T5n0won4cBrXnjJbJseMEJju4RLXikSJsJHzHLTmFA==" saltValue="l60T0HbSR3WRD6G1T0ou7Q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68" orientation="landscape" horizontalDpi="300" verticalDpi="300" r:id="rId1"/>
  <headerFooter alignWithMargins="0"/>
  <ignoredErrors>
    <ignoredError sqref="Q8:T37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BB61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570312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7" width="5.7109375" style="5" customWidth="1"/>
    <col min="28" max="28" width="14" style="2" hidden="1" customWidth="1"/>
    <col min="29" max="29" width="5.2851562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4" width="11" style="2" hidden="1" customWidth="1"/>
    <col min="45" max="46" width="10.42578125" style="2" hidden="1" customWidth="1"/>
    <col min="47" max="47" width="4.28515625" style="2" hidden="1" customWidth="1"/>
    <col min="48" max="48" width="7.7109375" style="39" hidden="1" customWidth="1"/>
    <col min="49" max="49" width="6.42578125" style="39" hidden="1" customWidth="1"/>
    <col min="50" max="50" width="5.7109375" style="2" hidden="1" customWidth="1"/>
    <col min="51" max="51" width="3" style="2" hidden="1" customWidth="1"/>
    <col min="52" max="52" width="7" style="4" hidden="1" customWidth="1"/>
    <col min="53" max="53" width="6.42578125" style="4" hidden="1" customWidth="1"/>
    <col min="54" max="54" width="51.85546875" customWidth="1"/>
    <col min="55" max="55" width="0" hidden="1" customWidth="1"/>
  </cols>
  <sheetData>
    <row r="1" spans="2:54" x14ac:dyDescent="0.2">
      <c r="C1" s="307"/>
      <c r="H1" s="248"/>
      <c r="X1" s="178"/>
      <c r="Y1" s="179"/>
      <c r="Z1" s="179" t="s">
        <v>110</v>
      </c>
      <c r="AA1" s="180"/>
      <c r="AD1" s="96">
        <v>0.29166666666666669</v>
      </c>
      <c r="AQ1" s="39" t="s">
        <v>111</v>
      </c>
      <c r="AR1" s="39" t="s">
        <v>112</v>
      </c>
      <c r="AS1" s="39" t="s">
        <v>113</v>
      </c>
      <c r="AT1" s="39" t="s">
        <v>114</v>
      </c>
      <c r="AU1" s="39"/>
      <c r="BB1" s="2"/>
    </row>
    <row r="2" spans="2:54" x14ac:dyDescent="0.2">
      <c r="C2" s="246"/>
      <c r="M2" s="136"/>
      <c r="N2" s="137"/>
      <c r="O2" s="137"/>
      <c r="P2" s="137"/>
      <c r="Q2" s="137"/>
      <c r="R2" s="137"/>
      <c r="S2" s="137"/>
      <c r="T2" s="137"/>
      <c r="U2" s="138"/>
      <c r="V2" s="139"/>
      <c r="X2" s="181" t="s">
        <v>115</v>
      </c>
      <c r="Y2" s="182"/>
      <c r="Z2" s="182" t="s">
        <v>116</v>
      </c>
      <c r="AA2" s="183"/>
      <c r="AC2" s="112"/>
      <c r="AD2" s="96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0"/>
      <c r="M3" s="140"/>
      <c r="N3" s="141"/>
      <c r="O3" s="141"/>
      <c r="P3" s="141"/>
      <c r="Q3" s="141"/>
      <c r="R3" s="141"/>
      <c r="S3" s="141"/>
      <c r="T3" s="141"/>
      <c r="U3" s="142"/>
      <c r="V3" s="143"/>
      <c r="X3" s="253" t="s">
        <v>117</v>
      </c>
      <c r="Y3" s="184"/>
      <c r="Z3" s="253"/>
      <c r="AA3" s="185"/>
      <c r="AD3" s="96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B4" s="277" t="s">
        <v>694</v>
      </c>
      <c r="C4" s="465" t="str">
        <f>Données!F6</f>
        <v>Memento 2022</v>
      </c>
      <c r="G4" s="4" t="s">
        <v>118</v>
      </c>
      <c r="I4" s="4"/>
      <c r="J4" s="4"/>
      <c r="K4" s="4"/>
      <c r="L4" s="4"/>
      <c r="M4" s="386">
        <f>Mai!$G$55</f>
        <v>0</v>
      </c>
      <c r="P4" s="4" t="s">
        <v>119</v>
      </c>
      <c r="Q4" s="4"/>
      <c r="R4" s="4"/>
      <c r="S4" s="4"/>
      <c r="T4" s="4"/>
      <c r="U4" s="199">
        <f>IF(Mai!$H$48="x",Mai!$U$4,Mai!$G$51)</f>
        <v>0</v>
      </c>
      <c r="AV4" s="84"/>
      <c r="AW4" s="84" t="s">
        <v>120</v>
      </c>
      <c r="AX4" s="113">
        <v>0</v>
      </c>
      <c r="AY4" s="113"/>
      <c r="BB4" s="2"/>
    </row>
    <row r="5" spans="2:54" x14ac:dyDescent="0.2">
      <c r="B5" s="81"/>
      <c r="C5" s="82"/>
      <c r="D5" s="83" t="s">
        <v>122</v>
      </c>
      <c r="E5" s="83" t="s">
        <v>123</v>
      </c>
      <c r="F5" s="90" t="s">
        <v>124</v>
      </c>
      <c r="G5" s="91"/>
      <c r="H5" s="90" t="s">
        <v>124</v>
      </c>
      <c r="I5" s="91"/>
      <c r="J5" s="90" t="s">
        <v>124</v>
      </c>
      <c r="K5" s="91"/>
      <c r="L5" s="90" t="s">
        <v>125</v>
      </c>
      <c r="M5" s="91"/>
      <c r="N5" s="84" t="s">
        <v>126</v>
      </c>
      <c r="O5" s="93" t="s">
        <v>127</v>
      </c>
      <c r="P5" s="92"/>
      <c r="Q5" s="90" t="s">
        <v>128</v>
      </c>
      <c r="R5" s="134"/>
      <c r="S5" s="134"/>
      <c r="T5" s="91"/>
      <c r="U5" s="84" t="s">
        <v>129</v>
      </c>
      <c r="V5" s="84" t="s">
        <v>130</v>
      </c>
      <c r="W5" s="84" t="s">
        <v>129</v>
      </c>
      <c r="X5" s="84" t="s">
        <v>129</v>
      </c>
      <c r="Y5" s="300"/>
      <c r="Z5" s="84" t="s">
        <v>131</v>
      </c>
      <c r="AA5" s="301" t="s">
        <v>132</v>
      </c>
      <c r="AB5" s="8" t="s">
        <v>133</v>
      </c>
      <c r="AC5" s="8" t="s">
        <v>134</v>
      </c>
      <c r="AD5" s="8" t="s">
        <v>135</v>
      </c>
      <c r="AE5" s="8" t="s">
        <v>136</v>
      </c>
      <c r="AF5" s="8" t="s">
        <v>137</v>
      </c>
      <c r="AG5" s="8" t="s">
        <v>137</v>
      </c>
      <c r="AH5" s="8" t="s">
        <v>138</v>
      </c>
      <c r="AI5" s="8" t="s">
        <v>139</v>
      </c>
      <c r="AO5" s="4"/>
      <c r="AT5" s="4" t="s">
        <v>140</v>
      </c>
      <c r="AU5" s="4"/>
      <c r="AV5" s="231" t="s">
        <v>141</v>
      </c>
      <c r="AW5" s="231" t="s">
        <v>142</v>
      </c>
      <c r="AX5" s="84" t="s">
        <v>126</v>
      </c>
      <c r="AY5" s="250"/>
      <c r="BB5" s="4"/>
    </row>
    <row r="6" spans="2:54" x14ac:dyDescent="0.2">
      <c r="B6" s="85" t="s">
        <v>143</v>
      </c>
      <c r="C6" s="86" t="s">
        <v>144</v>
      </c>
      <c r="D6" s="87" t="s">
        <v>44</v>
      </c>
      <c r="E6" s="87" t="s">
        <v>145</v>
      </c>
      <c r="F6" s="86" t="s">
        <v>44</v>
      </c>
      <c r="G6" s="86" t="s">
        <v>45</v>
      </c>
      <c r="H6" s="86" t="s">
        <v>44</v>
      </c>
      <c r="I6" s="86" t="s">
        <v>45</v>
      </c>
      <c r="J6" s="86" t="s">
        <v>44</v>
      </c>
      <c r="K6" s="86" t="s">
        <v>45</v>
      </c>
      <c r="L6" s="86" t="s">
        <v>146</v>
      </c>
      <c r="M6" s="86" t="s">
        <v>147</v>
      </c>
      <c r="N6" s="86" t="s">
        <v>148</v>
      </c>
      <c r="O6" s="94" t="s">
        <v>149</v>
      </c>
      <c r="P6" s="95"/>
      <c r="Q6" s="357" t="s">
        <v>150</v>
      </c>
      <c r="R6" s="357" t="s">
        <v>151</v>
      </c>
      <c r="S6" s="357" t="s">
        <v>152</v>
      </c>
      <c r="T6" s="357" t="s">
        <v>153</v>
      </c>
      <c r="U6" s="176" t="s">
        <v>154</v>
      </c>
      <c r="V6" s="86" t="s">
        <v>155</v>
      </c>
      <c r="W6" s="86" t="s">
        <v>156</v>
      </c>
      <c r="X6" s="195" t="s">
        <v>157</v>
      </c>
      <c r="Y6" s="88" t="s">
        <v>131</v>
      </c>
      <c r="Z6" s="86" t="s">
        <v>158</v>
      </c>
      <c r="AA6" s="302" t="s">
        <v>159</v>
      </c>
      <c r="AB6" s="9" t="s">
        <v>160</v>
      </c>
      <c r="AC6" s="9" t="s">
        <v>160</v>
      </c>
      <c r="AD6" s="9" t="s">
        <v>137</v>
      </c>
      <c r="AE6" s="9" t="s">
        <v>161</v>
      </c>
      <c r="AF6" s="9" t="s">
        <v>156</v>
      </c>
      <c r="AG6" s="278" t="s">
        <v>157</v>
      </c>
      <c r="AH6" s="8" t="s">
        <v>137</v>
      </c>
      <c r="AI6" s="8" t="s">
        <v>162</v>
      </c>
      <c r="AJ6" s="56" t="s">
        <v>163</v>
      </c>
      <c r="AK6" s="11" t="s">
        <v>164</v>
      </c>
      <c r="AL6" s="101" t="s">
        <v>165</v>
      </c>
      <c r="AM6" s="10" t="s">
        <v>166</v>
      </c>
      <c r="AN6" s="10" t="s">
        <v>167</v>
      </c>
      <c r="AO6" s="10"/>
      <c r="AP6" s="11" t="s">
        <v>168</v>
      </c>
      <c r="AQ6" s="11" t="s">
        <v>169</v>
      </c>
      <c r="AR6" s="11" t="s">
        <v>170</v>
      </c>
      <c r="AS6" s="11" t="s">
        <v>171</v>
      </c>
      <c r="AT6" s="10" t="s">
        <v>166</v>
      </c>
      <c r="AU6" s="10" t="s">
        <v>172</v>
      </c>
      <c r="AV6" s="232" t="s">
        <v>173</v>
      </c>
      <c r="AW6" s="232" t="s">
        <v>174</v>
      </c>
      <c r="AX6" s="86" t="s">
        <v>148</v>
      </c>
      <c r="AY6" s="251"/>
      <c r="AZ6" s="11"/>
      <c r="BA6" s="11"/>
      <c r="BB6" s="11" t="s">
        <v>175</v>
      </c>
    </row>
    <row r="7" spans="2:54" x14ac:dyDescent="0.2">
      <c r="B7" s="467" t="s">
        <v>178</v>
      </c>
      <c r="C7" s="485" t="s">
        <v>410</v>
      </c>
      <c r="D7" s="486"/>
      <c r="E7" s="486"/>
      <c r="F7" s="470"/>
      <c r="G7" s="470"/>
      <c r="H7" s="470"/>
      <c r="I7" s="470"/>
      <c r="J7" s="487"/>
      <c r="K7" s="487"/>
      <c r="L7" s="471">
        <f t="shared" ref="L7:L36" si="0">(G7-F7)+(I7-H7)+(K7-J7)+AJ7+AO7</f>
        <v>0</v>
      </c>
      <c r="M7" s="488">
        <f>IF(Mai!H48="x",L7+Mai!M37+M4,L7+M4)</f>
        <v>0.6333333333333333</v>
      </c>
      <c r="N7" s="488">
        <f>IF(Mai!$H$48="x",AV7+Mai!$N$37,AV7)</f>
        <v>7.2833333333333297</v>
      </c>
      <c r="O7" s="483" t="str">
        <f>IF((M7-N7-U$4)&lt;0,"-","+")</f>
        <v>-</v>
      </c>
      <c r="P7" s="489">
        <f>ABS(M7-N7-U$4)</f>
        <v>6.6499999999999968</v>
      </c>
      <c r="Q7" s="474">
        <f>AQ7</f>
        <v>0</v>
      </c>
      <c r="R7" s="474">
        <f>AR7</f>
        <v>0</v>
      </c>
      <c r="S7" s="474">
        <f>AS7</f>
        <v>0</v>
      </c>
      <c r="T7" s="474">
        <f>AP7</f>
        <v>0</v>
      </c>
      <c r="U7" s="488">
        <f>IF($Z$3="x",AD7,)</f>
        <v>0</v>
      </c>
      <c r="V7" s="488">
        <f t="shared" ref="V7:V9" si="1">IF(D7="F",L7,0)</f>
        <v>0</v>
      </c>
      <c r="W7" s="471">
        <f>IF($X$3="x",AF7,)</f>
        <v>0</v>
      </c>
      <c r="X7" s="471">
        <f>IF($X$3="x",AG7,)</f>
        <v>0</v>
      </c>
      <c r="Y7" s="470"/>
      <c r="Z7" s="470"/>
      <c r="AA7" s="469"/>
      <c r="AB7" s="475">
        <f>IF((G7&gt;$AD$3)*AND(F7&lt;=$AD$3),G7-$AD$3,)+IF(F7&gt;$AD$3,G7-F7,)+IF((I7&gt;$AD$3)*AND(H7&lt;=$AD$3),I7-$AD$3,)+IF((H7&gt;$AD$3),I7-H7,)+IF((K7&gt;$AD$3)*AND(J7&lt;=$AD$3),K7-$AD$3,)+IF((J7&gt;$AD$3),K7-J7,)</f>
        <v>0</v>
      </c>
      <c r="AC7" s="475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75">
        <f>AB7+AC7</f>
        <v>0</v>
      </c>
      <c r="AE7" s="475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76">
        <f>AB7-AE7</f>
        <v>0</v>
      </c>
      <c r="AG7" s="475">
        <f>AI7+AE7</f>
        <v>0</v>
      </c>
      <c r="AH7" s="476">
        <f>AD7</f>
        <v>0</v>
      </c>
      <c r="AI7" s="475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77">
        <f>IF((D7&lt;&gt;""),VLOOKUP(D7,Données!$E$36:$H$59,4,FALSE),)</f>
        <v>0</v>
      </c>
      <c r="AK7" s="477">
        <f>IF(V7&gt;0,L7,0)</f>
        <v>0</v>
      </c>
      <c r="AL7" s="478">
        <f>IF(L7&gt;0,D7,0)</f>
        <v>0</v>
      </c>
      <c r="AM7" s="479">
        <f>IF((E7="X")*OR(E7="x"),1,0)</f>
        <v>0</v>
      </c>
      <c r="AN7" s="480">
        <f>IF(D7="F",1,)+IF((D7="JP")*AND(((G7-F7)+(I7-H7)+(K7-J7))&gt;0),1,0)</f>
        <v>0</v>
      </c>
      <c r="AO7" s="477">
        <f>IF((D7="JP")*AND(((G7-F7)+(I7-H7)+(K7-J7))=0),"07:36",0)</f>
        <v>0</v>
      </c>
      <c r="AP7" s="481">
        <f>IF((F7&lt;=$AQ$2)*AND(G7&gt;=$AQ$3),1,)+IF((H7&lt;=$AQ$2)*AND(I7&gt;=$AQ$3),1,)+IF((J7&lt;=$AQ$2)*AND(K7&gt;=$AQ$3),1,)</f>
        <v>0</v>
      </c>
      <c r="AQ7" s="481">
        <f>IF((F7&lt;=$AR$2)*AND(G7&gt;=$AR$3),1,)+IF((H7&lt;=$AR$2)*AND(I7&gt;=$AR$3),1,)+IF((J7&lt;=$AR$2)*AND(K7&gt;=$AR$3),1,)</f>
        <v>0</v>
      </c>
      <c r="AR7" s="481">
        <f>IF((F7&lt;=$AS$2)*AND(G7&gt;=$AS$3),1,)+IF((H7&lt;=$AS$2)*AND(I7&gt;=$AS$3),1,)+IF((J7&lt;=$AS$2)*AND(K7&gt;=$AS$3),1,)</f>
        <v>0</v>
      </c>
      <c r="AS7" s="481">
        <f>IF((F7=$AT$2)*AND(G7&gt;=$AT$3),1,)+IF((H7=$AT$2)*AND(I7&gt;=$AT$3),1,)+IF((J7=$AT$2)*AND(K7&gt;=$AT$3),1,)</f>
        <v>0</v>
      </c>
      <c r="AT7" s="479">
        <f>IF((E7="me")*OR(E7="ME"),1,0)</f>
        <v>0</v>
      </c>
      <c r="AU7" s="479">
        <f>IF((E7="M")*OR(E7="m"),1,0)</f>
        <v>0</v>
      </c>
      <c r="AV7" s="471">
        <f>IF(Données!$H$8="x",AW7,AX7)</f>
        <v>0.31666666666666665</v>
      </c>
      <c r="AW7" s="471">
        <f t="shared" ref="AW7:AW36" si="2">AX7/2</f>
        <v>0.15833333333333333</v>
      </c>
      <c r="AX7" s="471">
        <f>IF(D7="L",AX4,(AX4+"07:36"))</f>
        <v>0.31666666666666665</v>
      </c>
      <c r="AY7" s="467" t="str">
        <f>B7</f>
        <v>Me</v>
      </c>
      <c r="AZ7" s="478">
        <f>IF((S39="HAU1")*AND(S40&lt;&gt;""),VLOOKUP(S40,Échelle!$Q$5:$R$31,2),)</f>
        <v>0</v>
      </c>
      <c r="BA7" s="479" t="s">
        <v>0</v>
      </c>
      <c r="BB7" s="148"/>
    </row>
    <row r="8" spans="2:54" x14ac:dyDescent="0.2">
      <c r="B8" s="467" t="s">
        <v>180</v>
      </c>
      <c r="C8" s="468" t="s">
        <v>411</v>
      </c>
      <c r="D8" s="469"/>
      <c r="E8" s="469"/>
      <c r="F8" s="470"/>
      <c r="G8" s="470"/>
      <c r="H8" s="470"/>
      <c r="I8" s="470"/>
      <c r="J8" s="487"/>
      <c r="K8" s="487"/>
      <c r="L8" s="471">
        <f t="shared" si="0"/>
        <v>0</v>
      </c>
      <c r="M8" s="471">
        <f>IF(H1="VERSION NON-REGISTREE","NULL",M7+L8)</f>
        <v>0.6333333333333333</v>
      </c>
      <c r="N8" s="488">
        <f>IF(Mai!$H$48="x",AV8+Mai!$N$37,AV8)</f>
        <v>7.5999999999999961</v>
      </c>
      <c r="O8" s="483" t="str">
        <f t="shared" ref="O8:O36" si="3">IF((M8-N8-U$4)&lt;0,"-","+")</f>
        <v>-</v>
      </c>
      <c r="P8" s="489">
        <f t="shared" ref="P8:P36" si="4">ABS(M8-N8-U$4)</f>
        <v>6.9666666666666632</v>
      </c>
      <c r="Q8" s="474">
        <f t="shared" ref="Q8:Q36" si="5">AQ8</f>
        <v>0</v>
      </c>
      <c r="R8" s="474">
        <f t="shared" ref="R8:R36" si="6">AR8</f>
        <v>0</v>
      </c>
      <c r="S8" s="474">
        <f t="shared" ref="S8:S36" si="7">AS8</f>
        <v>0</v>
      </c>
      <c r="T8" s="474">
        <f t="shared" ref="T8:T36" si="8">AP8</f>
        <v>0</v>
      </c>
      <c r="U8" s="488">
        <f t="shared" ref="U8:U36" si="9">IF($Z$3="x",AD8,)</f>
        <v>0</v>
      </c>
      <c r="V8" s="488">
        <f t="shared" si="1"/>
        <v>0</v>
      </c>
      <c r="W8" s="471">
        <f t="shared" ref="W8:W36" si="10">IF($X$3="x",AF8,)</f>
        <v>0</v>
      </c>
      <c r="X8" s="471">
        <f t="shared" ref="X8:X36" si="11">IF($X$3="x",AG8,)</f>
        <v>0</v>
      </c>
      <c r="Y8" s="470"/>
      <c r="Z8" s="470"/>
      <c r="AA8" s="469"/>
      <c r="AB8" s="475">
        <f>IF((G8&gt;$AD$3)*AND(F8&lt;=$AD$3),G8-$AD$3,)+IF(F8&gt;$AD$3,G8-F8,)+IF((I8&gt;$AD$3)*AND(H8&lt;=$AD$3),I8-$AD$3,)+IF((H8&gt;$AD$3),I8-H8,)+IF((K8&gt;$AD$3)*AND(J8&lt;=$AD$3),K8-$AD$3,)+IF((J8&gt;$AD$3),K8-J8,)</f>
        <v>0</v>
      </c>
      <c r="AC8" s="475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75">
        <f>AB8+AC8</f>
        <v>0</v>
      </c>
      <c r="AE8" s="475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76">
        <f>AB8-AE8</f>
        <v>0</v>
      </c>
      <c r="AG8" s="475">
        <f>AI8+AE8</f>
        <v>0</v>
      </c>
      <c r="AH8" s="476">
        <f>AD8</f>
        <v>0</v>
      </c>
      <c r="AI8" s="475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77">
        <f>IF((D8&lt;&gt;""),VLOOKUP(D8,Données!$E$36:$H$59,4,FALSE),)</f>
        <v>0</v>
      </c>
      <c r="AK8" s="477">
        <f>IF(V8&gt;0,L8,0)</f>
        <v>0</v>
      </c>
      <c r="AL8" s="478">
        <f>IF(L8&gt;0,D8,0)</f>
        <v>0</v>
      </c>
      <c r="AM8" s="479">
        <f>IF((E8="X")*OR(E8="x"),1,0)</f>
        <v>0</v>
      </c>
      <c r="AN8" s="480">
        <f t="shared" ref="AN8:AN36" si="12">IF(D8="F",1,)+IF((D8="JP")*AND(((G8-F8)+(I8-H8)+(K8-J8))&gt;0),1,0)</f>
        <v>0</v>
      </c>
      <c r="AO8" s="477">
        <f t="shared" ref="AO8:AO36" si="13">IF((D8="JP")*AND(((G8-F8)+(I8-H8)+(K8-J8))=0),"07:36",0)</f>
        <v>0</v>
      </c>
      <c r="AP8" s="481">
        <f>IF((F8&lt;=$AQ$2)*AND(G8&gt;=$AQ$3),1,)+IF((H8&lt;=$AQ$2)*AND(I8&gt;=$AQ$3),1,)+IF((J8&lt;=$AQ$2)*AND(K8&gt;=$AQ$3),1,)</f>
        <v>0</v>
      </c>
      <c r="AQ8" s="481">
        <f>IF((F8&lt;=$AR$2)*AND(G8&gt;=$AR$3),1,)+IF((H8&lt;=$AR$2)*AND(I8&gt;=$AR$3),1,)+IF((J8&lt;=$AR$2)*AND(K8&gt;=$AR$3),1,)</f>
        <v>0</v>
      </c>
      <c r="AR8" s="481">
        <f>IF((F8&lt;=$AS$2)*AND(G8&gt;=$AS$3),1,)+IF((H8&lt;=$AS$2)*AND(I8&gt;=$AS$3),1,)+IF((J8&lt;=$AS$2)*AND(K8&gt;=$AS$3),1,)</f>
        <v>0</v>
      </c>
      <c r="AS8" s="481">
        <f>IF((F8=$AT$2)*AND(G8&gt;=$AT$3),1,)+IF((H8=$AT$2)*AND(I8&gt;=$AT$3),1,)+IF((J8=$AT$2)*AND(K8&gt;=$AT$3),1,)</f>
        <v>0</v>
      </c>
      <c r="AT8" s="479">
        <f t="shared" ref="AT8:AT36" si="14">IF((E8="me")*OR(E8="ME"),1,0)</f>
        <v>0</v>
      </c>
      <c r="AU8" s="479">
        <f t="shared" ref="AU8:AU36" si="15">IF((E8="M")*OR(E8="m"),1,0)</f>
        <v>0</v>
      </c>
      <c r="AV8" s="471">
        <f>IF(Données!$H$8="x",AW8,AX8)</f>
        <v>0.6333333333333333</v>
      </c>
      <c r="AW8" s="471">
        <f t="shared" si="2"/>
        <v>0.31666666666666665</v>
      </c>
      <c r="AX8" s="471">
        <f t="shared" ref="AX8:AX9" si="16">IF(D8="L",AX7,(AX7+"07:36"))</f>
        <v>0.6333333333333333</v>
      </c>
      <c r="AY8" s="467" t="str">
        <f t="shared" ref="AY8:AY36" si="17">B8</f>
        <v>Je</v>
      </c>
      <c r="AZ8" s="478">
        <f>IF((S39="HAU2")*AND(S40&lt;&gt;""),VLOOKUP(S40,Échelle!$T$5:$U$31,2),)</f>
        <v>0</v>
      </c>
      <c r="BA8" s="479" t="s">
        <v>1</v>
      </c>
      <c r="BB8" s="148"/>
    </row>
    <row r="9" spans="2:54" x14ac:dyDescent="0.2">
      <c r="B9" s="467" t="s">
        <v>182</v>
      </c>
      <c r="C9" s="468" t="s">
        <v>412</v>
      </c>
      <c r="D9" s="469"/>
      <c r="E9" s="469"/>
      <c r="F9" s="470"/>
      <c r="G9" s="470"/>
      <c r="H9" s="470"/>
      <c r="I9" s="470"/>
      <c r="J9" s="487"/>
      <c r="K9" s="487"/>
      <c r="L9" s="471">
        <f t="shared" si="0"/>
        <v>0</v>
      </c>
      <c r="M9" s="471">
        <f>M8+L9</f>
        <v>0.6333333333333333</v>
      </c>
      <c r="N9" s="488">
        <f>IF(Mai!$H$48="x",AV9+Mai!$N$37,AV9)</f>
        <v>7.9166666666666634</v>
      </c>
      <c r="O9" s="483" t="str">
        <f t="shared" si="3"/>
        <v>-</v>
      </c>
      <c r="P9" s="489">
        <f t="shared" si="4"/>
        <v>7.2833333333333297</v>
      </c>
      <c r="Q9" s="474">
        <f t="shared" si="5"/>
        <v>0</v>
      </c>
      <c r="R9" s="474">
        <f t="shared" si="6"/>
        <v>0</v>
      </c>
      <c r="S9" s="474">
        <f t="shared" si="7"/>
        <v>0</v>
      </c>
      <c r="T9" s="474">
        <f t="shared" si="8"/>
        <v>0</v>
      </c>
      <c r="U9" s="488">
        <f t="shared" si="9"/>
        <v>0</v>
      </c>
      <c r="V9" s="488">
        <f t="shared" si="1"/>
        <v>0</v>
      </c>
      <c r="W9" s="471">
        <f t="shared" si="10"/>
        <v>0</v>
      </c>
      <c r="X9" s="471">
        <f t="shared" si="11"/>
        <v>0</v>
      </c>
      <c r="Y9" s="470"/>
      <c r="Z9" s="470"/>
      <c r="AA9" s="469"/>
      <c r="AB9" s="475">
        <f t="shared" ref="AB9:AB36" si="18">IF((G9&gt;$AD$3)*AND(F9&lt;=$AD$3),G9-$AD$3,)+IF(F9&gt;$AD$3,G9-F9,)+IF((I9&gt;$AD$3)*AND(H9&lt;=$AD$3),I9-$AD$3,)+IF((H9&gt;$AD$3),I9-H9,)+IF((K9&gt;$AD$3)*AND(J9&lt;=$AD$3),K9-$AD$3,)+IF((J9&gt;$AD$3),K9-J9,)</f>
        <v>0</v>
      </c>
      <c r="AC9" s="475">
        <f t="shared" ref="AC9:AC36" si="19">IF((G9&gt;=$AD$1)*AND(F9&lt;$AD$1),($AD$1)-F9,)+IF((G9&lt;$AD$1),G9-F9,)+IF((I9&gt;=$AD$1)*AND(H9&lt;$AD$1),($AD$1)-H9,)+IF((I9&lt;$AD$1),I9-H9,)+IF((K9&gt;=$AD$1)*AND(J9&lt;$AD$1),($AD$1)-J9,)+IF((K9&lt;$AD$1),K9-J9,)</f>
        <v>0</v>
      </c>
      <c r="AD9" s="475">
        <f t="shared" ref="AD9:AD36" si="20">AB9+AC9</f>
        <v>0</v>
      </c>
      <c r="AE9" s="475">
        <f t="shared" ref="AE9:AE36" si="21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76">
        <f t="shared" ref="AF9:AF36" si="22">AB9-AE9</f>
        <v>0</v>
      </c>
      <c r="AG9" s="475">
        <f t="shared" ref="AG9:AG36" si="23">AI9+AE9</f>
        <v>0</v>
      </c>
      <c r="AH9" s="476">
        <f t="shared" ref="AH9:AH36" si="24">AD9</f>
        <v>0</v>
      </c>
      <c r="AI9" s="475">
        <f t="shared" ref="AI9:AI36" si="25">IF((G9&gt;=$AD$2)*AND(F9&lt;$AD$2),($AD$2)-F9,)+IF((G9&lt;$AD$2),G9-F9,)+IF((I9&gt;=$AD$2)*AND(H9&lt;$AD$2),($AD$2)-H9,)+IF((I9&lt;$AD$2),I9-H9,)+IF((K9&gt;=$AD$2)*AND(J9&lt;$AD$2),($AD$2)-J9,)+IF((K9&lt;$AD$2),K9-J9,)</f>
        <v>0</v>
      </c>
      <c r="AJ9" s="477">
        <f>IF((D9&lt;&gt;""),VLOOKUP(D9,Données!$E$36:$H$59,4,FALSE),)</f>
        <v>0</v>
      </c>
      <c r="AK9" s="477">
        <f>IF(V9&gt;0,L9,0)</f>
        <v>0</v>
      </c>
      <c r="AL9" s="478">
        <f>IF(L9&gt;0,D9,0)</f>
        <v>0</v>
      </c>
      <c r="AM9" s="479">
        <f>IF((E9="X")*OR(E9="x"),1,0)</f>
        <v>0</v>
      </c>
      <c r="AN9" s="480">
        <f t="shared" si="12"/>
        <v>0</v>
      </c>
      <c r="AO9" s="477">
        <f t="shared" si="13"/>
        <v>0</v>
      </c>
      <c r="AP9" s="481">
        <f>IF((F9&lt;=$AQ$2)*AND(G9&gt;=$AQ$3),1,)+IF((H9&lt;=$AQ$2)*AND(I9&gt;=$AQ$3),1,)+IF((J9&lt;=$AQ$2)*AND(K9&gt;=$AQ$3),1,)</f>
        <v>0</v>
      </c>
      <c r="AQ9" s="481">
        <f>IF((F9&lt;=$AR$2)*AND(G9&gt;=$AR$3),1,)+IF((H9&lt;=$AR$2)*AND(I9&gt;=$AR$3),1,)+IF((J9&lt;=$AR$2)*AND(K9&gt;=$AR$3),1,)</f>
        <v>0</v>
      </c>
      <c r="AR9" s="481">
        <f>IF((F9&lt;=$AS$2)*AND(G9&gt;=$AS$3),1,)+IF((H9&lt;=$AS$2)*AND(I9&gt;=$AS$3),1,)+IF((J9&lt;=$AS$2)*AND(K9&gt;=$AS$3),1,)</f>
        <v>0</v>
      </c>
      <c r="AS9" s="481">
        <f>IF((F9=$AT$2)*AND(G9&gt;=$AT$3),1,)+IF((H9=$AT$2)*AND(I9&gt;=$AT$3),1,)+IF((J9=$AT$2)*AND(K9&gt;=$AT$3),1,)</f>
        <v>0</v>
      </c>
      <c r="AT9" s="479">
        <f t="shared" si="14"/>
        <v>0</v>
      </c>
      <c r="AU9" s="479">
        <f t="shared" si="15"/>
        <v>0</v>
      </c>
      <c r="AV9" s="471">
        <f>IF(Données!$H$8="x",AW9,AX9)</f>
        <v>0.95</v>
      </c>
      <c r="AW9" s="471">
        <f t="shared" si="2"/>
        <v>0.47499999999999998</v>
      </c>
      <c r="AX9" s="471">
        <f t="shared" si="16"/>
        <v>0.95</v>
      </c>
      <c r="AY9" s="467" t="str">
        <f t="shared" si="17"/>
        <v>Ve</v>
      </c>
      <c r="AZ9" s="478">
        <f>IF((S39="HAU3")*AND(S40&lt;&gt;""),VLOOKUP(S40,Échelle!$W$5:$X$31,2),)</f>
        <v>0</v>
      </c>
      <c r="BA9" s="479" t="s">
        <v>2</v>
      </c>
      <c r="BB9" s="148"/>
    </row>
    <row r="10" spans="2:54" x14ac:dyDescent="0.2">
      <c r="B10" s="403" t="s">
        <v>184</v>
      </c>
      <c r="C10" s="412" t="s">
        <v>413</v>
      </c>
      <c r="D10" s="411"/>
      <c r="E10" s="411"/>
      <c r="F10" s="401"/>
      <c r="G10" s="401"/>
      <c r="H10" s="401"/>
      <c r="I10" s="401"/>
      <c r="J10" s="406"/>
      <c r="K10" s="406"/>
      <c r="L10" s="402">
        <f>(G10-F10)+(I10-H10)+(K10-J10)</f>
        <v>0</v>
      </c>
      <c r="M10" s="402">
        <f>M9+L10</f>
        <v>0.6333333333333333</v>
      </c>
      <c r="N10" s="407">
        <f>IF(Mai!$H$48="x",AV10+Mai!$N$37,AV10)</f>
        <v>7.9166666666666634</v>
      </c>
      <c r="O10" s="408" t="str">
        <f t="shared" si="3"/>
        <v>-</v>
      </c>
      <c r="P10" s="409">
        <f t="shared" si="4"/>
        <v>7.2833333333333297</v>
      </c>
      <c r="Q10" s="410">
        <f t="shared" si="5"/>
        <v>0</v>
      </c>
      <c r="R10" s="410">
        <f t="shared" si="6"/>
        <v>0</v>
      </c>
      <c r="S10" s="410">
        <f t="shared" si="7"/>
        <v>0</v>
      </c>
      <c r="T10" s="410">
        <f t="shared" si="8"/>
        <v>0</v>
      </c>
      <c r="U10" s="407">
        <f t="shared" si="9"/>
        <v>0</v>
      </c>
      <c r="V10" s="407">
        <f>L10</f>
        <v>0</v>
      </c>
      <c r="W10" s="402">
        <f t="shared" si="10"/>
        <v>0</v>
      </c>
      <c r="X10" s="402">
        <f t="shared" si="11"/>
        <v>0</v>
      </c>
      <c r="Y10" s="401"/>
      <c r="Z10" s="401"/>
      <c r="AA10" s="411"/>
      <c r="AB10" s="420">
        <f t="shared" si="18"/>
        <v>0</v>
      </c>
      <c r="AC10" s="420">
        <f t="shared" si="19"/>
        <v>0</v>
      </c>
      <c r="AD10" s="420">
        <f t="shared" si="20"/>
        <v>0</v>
      </c>
      <c r="AE10" s="420">
        <f t="shared" si="21"/>
        <v>0</v>
      </c>
      <c r="AF10" s="421">
        <f t="shared" si="22"/>
        <v>0</v>
      </c>
      <c r="AG10" s="420">
        <f t="shared" si="23"/>
        <v>0</v>
      </c>
      <c r="AH10" s="421">
        <f t="shared" si="24"/>
        <v>0</v>
      </c>
      <c r="AI10" s="420">
        <f t="shared" si="25"/>
        <v>0</v>
      </c>
      <c r="AJ10" s="422">
        <f>IF((D10&lt;&gt;""),VLOOKUP(D10,Données!$E$36:$H$59,4,FALSE),)</f>
        <v>0</v>
      </c>
      <c r="AK10" s="422">
        <f t="shared" ref="AK10:AK36" si="26">IF(V10&gt;0,L10,0)</f>
        <v>0</v>
      </c>
      <c r="AL10" s="423">
        <f t="shared" ref="AL10:AL36" si="27">IF(L10&gt;0,D10,0)</f>
        <v>0</v>
      </c>
      <c r="AM10" s="424">
        <f t="shared" ref="AM10:AM36" si="28">IF((E10="X")*OR(E10="x"),1,0)</f>
        <v>0</v>
      </c>
      <c r="AN10" s="425">
        <f t="shared" si="12"/>
        <v>0</v>
      </c>
      <c r="AO10" s="422">
        <f t="shared" si="13"/>
        <v>0</v>
      </c>
      <c r="AP10" s="426">
        <f t="shared" ref="AP10:AP36" si="29">IF((F10&lt;=$AQ$2)*AND(G10&gt;=$AQ$3),1,)+IF((H10&lt;=$AQ$2)*AND(I10&gt;=$AQ$3),1,)+IF((J10&lt;=$AQ$2)*AND(K10&gt;=$AQ$3),1,)</f>
        <v>0</v>
      </c>
      <c r="AQ10" s="426">
        <f t="shared" ref="AQ10:AQ36" si="30">IF((F10&lt;=$AR$2)*AND(G10&gt;=$AR$3),1,)+IF((H10&lt;=$AR$2)*AND(I10&gt;=$AR$3),1,)+IF((J10&lt;=$AR$2)*AND(K10&gt;=$AR$3),1,)</f>
        <v>0</v>
      </c>
      <c r="AR10" s="426">
        <f t="shared" ref="AR10:AR36" si="31">IF((F10&lt;=$AS$2)*AND(G10&gt;=$AS$3),1,)+IF((H10&lt;=$AS$2)*AND(I10&gt;=$AS$3),1,)+IF((J10&lt;=$AS$2)*AND(K10&gt;=$AS$3),1,)</f>
        <v>0</v>
      </c>
      <c r="AS10" s="426">
        <f t="shared" ref="AS10:AS36" si="32">IF((F10=$AT$2)*AND(G10&gt;=$AT$3),1,)+IF((H10=$AT$2)*AND(I10&gt;=$AT$3),1,)+IF((J10=$AT$2)*AND(K10&gt;=$AT$3),1,)</f>
        <v>0</v>
      </c>
      <c r="AT10" s="424">
        <f t="shared" si="14"/>
        <v>0</v>
      </c>
      <c r="AU10" s="424">
        <f t="shared" si="15"/>
        <v>0</v>
      </c>
      <c r="AV10" s="402">
        <f>IF(Données!$H$8="x",AW10,AX10)</f>
        <v>0.95</v>
      </c>
      <c r="AW10" s="402">
        <f t="shared" si="2"/>
        <v>0.47499999999999998</v>
      </c>
      <c r="AX10" s="402">
        <f>AX9</f>
        <v>0.95</v>
      </c>
      <c r="AY10" s="403" t="str">
        <f t="shared" si="17"/>
        <v>Sa</v>
      </c>
      <c r="AZ10" s="423">
        <f>IF((S39="B1")*AND(S40&lt;&gt;""),VLOOKUP(S40,Échelle!$Z$5:$AA$31,2),)</f>
        <v>0</v>
      </c>
      <c r="BA10" s="424" t="s">
        <v>3</v>
      </c>
      <c r="BB10" s="148"/>
    </row>
    <row r="11" spans="2:54" x14ac:dyDescent="0.2">
      <c r="B11" s="403" t="s">
        <v>186</v>
      </c>
      <c r="C11" s="412" t="s">
        <v>414</v>
      </c>
      <c r="D11" s="411"/>
      <c r="E11" s="411"/>
      <c r="F11" s="401"/>
      <c r="G11" s="401"/>
      <c r="H11" s="401"/>
      <c r="I11" s="401"/>
      <c r="J11" s="406"/>
      <c r="K11" s="406"/>
      <c r="L11" s="402">
        <f>(G11-F11)+(I11-H11)+(K11-J11)</f>
        <v>0</v>
      </c>
      <c r="M11" s="402">
        <f t="shared" ref="M11:M36" si="33">M10+L11</f>
        <v>0.6333333333333333</v>
      </c>
      <c r="N11" s="407">
        <f>IF(Mai!$H$48="x",AV11+Mai!$N$37,AV11)</f>
        <v>7.9166666666666634</v>
      </c>
      <c r="O11" s="408" t="str">
        <f t="shared" si="3"/>
        <v>-</v>
      </c>
      <c r="P11" s="409">
        <f t="shared" si="4"/>
        <v>7.2833333333333297</v>
      </c>
      <c r="Q11" s="410">
        <f t="shared" si="5"/>
        <v>0</v>
      </c>
      <c r="R11" s="410">
        <f t="shared" si="6"/>
        <v>0</v>
      </c>
      <c r="S11" s="410">
        <f t="shared" si="7"/>
        <v>0</v>
      </c>
      <c r="T11" s="410">
        <f t="shared" si="8"/>
        <v>0</v>
      </c>
      <c r="U11" s="407">
        <f t="shared" si="9"/>
        <v>0</v>
      </c>
      <c r="V11" s="407">
        <f>L11</f>
        <v>0</v>
      </c>
      <c r="W11" s="402">
        <f t="shared" si="10"/>
        <v>0</v>
      </c>
      <c r="X11" s="402">
        <f t="shared" si="11"/>
        <v>0</v>
      </c>
      <c r="Y11" s="411"/>
      <c r="Z11" s="401"/>
      <c r="AA11" s="401"/>
      <c r="AB11" s="420">
        <f t="shared" si="18"/>
        <v>0</v>
      </c>
      <c r="AC11" s="420">
        <f t="shared" si="19"/>
        <v>0</v>
      </c>
      <c r="AD11" s="420">
        <f t="shared" si="20"/>
        <v>0</v>
      </c>
      <c r="AE11" s="420">
        <f t="shared" si="21"/>
        <v>0</v>
      </c>
      <c r="AF11" s="421">
        <f t="shared" si="22"/>
        <v>0</v>
      </c>
      <c r="AG11" s="420">
        <f t="shared" si="23"/>
        <v>0</v>
      </c>
      <c r="AH11" s="421">
        <f t="shared" si="24"/>
        <v>0</v>
      </c>
      <c r="AI11" s="420">
        <f t="shared" si="25"/>
        <v>0</v>
      </c>
      <c r="AJ11" s="422">
        <f>IF((D11&lt;&gt;""),VLOOKUP(D11,Données!$E$36:$H$59,4,FALSE),)</f>
        <v>0</v>
      </c>
      <c r="AK11" s="422">
        <f t="shared" si="26"/>
        <v>0</v>
      </c>
      <c r="AL11" s="423">
        <f t="shared" si="27"/>
        <v>0</v>
      </c>
      <c r="AM11" s="424">
        <f t="shared" si="28"/>
        <v>0</v>
      </c>
      <c r="AN11" s="425">
        <f t="shared" si="12"/>
        <v>0</v>
      </c>
      <c r="AO11" s="422">
        <f t="shared" si="13"/>
        <v>0</v>
      </c>
      <c r="AP11" s="426">
        <f t="shared" si="29"/>
        <v>0</v>
      </c>
      <c r="AQ11" s="426">
        <f t="shared" si="30"/>
        <v>0</v>
      </c>
      <c r="AR11" s="426">
        <f t="shared" si="31"/>
        <v>0</v>
      </c>
      <c r="AS11" s="426">
        <f t="shared" si="32"/>
        <v>0</v>
      </c>
      <c r="AT11" s="424">
        <f t="shared" si="14"/>
        <v>0</v>
      </c>
      <c r="AU11" s="424">
        <f t="shared" si="15"/>
        <v>0</v>
      </c>
      <c r="AV11" s="402">
        <f>IF(Données!$H$8="x",AW11,AX11)</f>
        <v>0.95</v>
      </c>
      <c r="AW11" s="402">
        <f t="shared" si="2"/>
        <v>0.47499999999999998</v>
      </c>
      <c r="AX11" s="402">
        <f>AX10</f>
        <v>0.95</v>
      </c>
      <c r="AY11" s="403" t="str">
        <f t="shared" si="17"/>
        <v>Di</v>
      </c>
      <c r="AZ11" s="423">
        <f>IF((S39="B2")*AND(S40&lt;&gt;""),VLOOKUP(S40,Échelle!$AC$5:$AD$31,2),)</f>
        <v>0</v>
      </c>
      <c r="BA11" s="424" t="s">
        <v>4</v>
      </c>
      <c r="BB11" s="148"/>
    </row>
    <row r="12" spans="2:54" x14ac:dyDescent="0.2">
      <c r="B12" s="430" t="s">
        <v>188</v>
      </c>
      <c r="C12" s="431" t="s">
        <v>415</v>
      </c>
      <c r="D12" s="432" t="s">
        <v>84</v>
      </c>
      <c r="E12" s="432"/>
      <c r="F12" s="433"/>
      <c r="G12" s="433"/>
      <c r="H12" s="433"/>
      <c r="I12" s="433"/>
      <c r="J12" s="438"/>
      <c r="K12" s="438"/>
      <c r="L12" s="434">
        <f t="shared" si="0"/>
        <v>0.31666666666666665</v>
      </c>
      <c r="M12" s="434">
        <f t="shared" si="33"/>
        <v>0.95</v>
      </c>
      <c r="N12" s="439">
        <f>IF(Mai!$H$48="x",AV12+Mai!$N$37,AV12)</f>
        <v>8.2333333333333307</v>
      </c>
      <c r="O12" s="440" t="str">
        <f t="shared" si="3"/>
        <v>-</v>
      </c>
      <c r="P12" s="441">
        <f t="shared" si="4"/>
        <v>7.2833333333333306</v>
      </c>
      <c r="Q12" s="436">
        <f t="shared" si="5"/>
        <v>0</v>
      </c>
      <c r="R12" s="436">
        <f t="shared" si="6"/>
        <v>0</v>
      </c>
      <c r="S12" s="436">
        <f t="shared" si="7"/>
        <v>0</v>
      </c>
      <c r="T12" s="436">
        <f t="shared" si="8"/>
        <v>0</v>
      </c>
      <c r="U12" s="439">
        <f t="shared" si="9"/>
        <v>0</v>
      </c>
      <c r="V12" s="434">
        <f t="shared" ref="V12:V16" si="34">IF(D12="F",L12,0)</f>
        <v>0</v>
      </c>
      <c r="W12" s="434">
        <f t="shared" si="10"/>
        <v>0</v>
      </c>
      <c r="X12" s="434">
        <f t="shared" si="11"/>
        <v>0</v>
      </c>
      <c r="Y12" s="433"/>
      <c r="Z12" s="433"/>
      <c r="AA12" s="432"/>
      <c r="AB12" s="442">
        <f t="shared" si="18"/>
        <v>0</v>
      </c>
      <c r="AC12" s="442">
        <f t="shared" si="19"/>
        <v>0</v>
      </c>
      <c r="AD12" s="442">
        <f t="shared" si="20"/>
        <v>0</v>
      </c>
      <c r="AE12" s="442">
        <f t="shared" si="21"/>
        <v>0</v>
      </c>
      <c r="AF12" s="443">
        <f t="shared" si="22"/>
        <v>0</v>
      </c>
      <c r="AG12" s="442">
        <f t="shared" si="23"/>
        <v>0</v>
      </c>
      <c r="AH12" s="443">
        <f t="shared" si="24"/>
        <v>0</v>
      </c>
      <c r="AI12" s="442">
        <f t="shared" si="25"/>
        <v>0</v>
      </c>
      <c r="AJ12" s="444">
        <f>IF((D12&lt;&gt;""),VLOOKUP(D12,Données!$E$36:$H$59,4,FALSE),)</f>
        <v>0.31666666666666665</v>
      </c>
      <c r="AK12" s="444">
        <f t="shared" si="26"/>
        <v>0</v>
      </c>
      <c r="AL12" s="445" t="str">
        <f t="shared" si="27"/>
        <v>FC</v>
      </c>
      <c r="AM12" s="446">
        <f t="shared" si="28"/>
        <v>0</v>
      </c>
      <c r="AN12" s="447">
        <f t="shared" si="12"/>
        <v>0</v>
      </c>
      <c r="AO12" s="444">
        <f t="shared" si="13"/>
        <v>0</v>
      </c>
      <c r="AP12" s="448">
        <f t="shared" si="29"/>
        <v>0</v>
      </c>
      <c r="AQ12" s="448">
        <f t="shared" si="30"/>
        <v>0</v>
      </c>
      <c r="AR12" s="448">
        <f t="shared" si="31"/>
        <v>0</v>
      </c>
      <c r="AS12" s="448">
        <f t="shared" si="32"/>
        <v>0</v>
      </c>
      <c r="AT12" s="446">
        <f t="shared" si="14"/>
        <v>0</v>
      </c>
      <c r="AU12" s="446">
        <f t="shared" si="15"/>
        <v>0</v>
      </c>
      <c r="AV12" s="434">
        <f>IF(Données!$H$8="x",AW12,AX12)</f>
        <v>1.2666666666666666</v>
      </c>
      <c r="AW12" s="434">
        <f t="shared" si="2"/>
        <v>0.6333333333333333</v>
      </c>
      <c r="AX12" s="434">
        <f t="shared" ref="AX12:AX16" si="35">IF(D12="L",AX11,(AX11+"07:36"))</f>
        <v>1.2666666666666666</v>
      </c>
      <c r="AY12" s="430" t="str">
        <f t="shared" si="17"/>
        <v>Lu</v>
      </c>
      <c r="AZ12" s="445">
        <f>IF((S39="B3")*AND(S40&lt;&gt;""),VLOOKUP(S40,Échelle!$AF$5:$AG$31,2),)</f>
        <v>0</v>
      </c>
      <c r="BA12" s="446" t="s">
        <v>5</v>
      </c>
      <c r="BB12" s="148"/>
    </row>
    <row r="13" spans="2:54" x14ac:dyDescent="0.2">
      <c r="B13" s="467" t="s">
        <v>176</v>
      </c>
      <c r="C13" s="468" t="s">
        <v>416</v>
      </c>
      <c r="D13" s="469"/>
      <c r="E13" s="469"/>
      <c r="F13" s="470"/>
      <c r="G13" s="470"/>
      <c r="H13" s="470"/>
      <c r="I13" s="470"/>
      <c r="J13" s="487"/>
      <c r="K13" s="487"/>
      <c r="L13" s="471">
        <f t="shared" si="0"/>
        <v>0</v>
      </c>
      <c r="M13" s="471">
        <f t="shared" si="33"/>
        <v>0.95</v>
      </c>
      <c r="N13" s="488">
        <f>IF(Mai!$H$48="x",AV13+Mai!$N$37,AV13)</f>
        <v>8.5499999999999972</v>
      </c>
      <c r="O13" s="483" t="str">
        <f t="shared" si="3"/>
        <v>-</v>
      </c>
      <c r="P13" s="489">
        <f t="shared" si="4"/>
        <v>7.599999999999997</v>
      </c>
      <c r="Q13" s="474">
        <f t="shared" si="5"/>
        <v>0</v>
      </c>
      <c r="R13" s="474">
        <f t="shared" si="6"/>
        <v>0</v>
      </c>
      <c r="S13" s="474">
        <f t="shared" si="7"/>
        <v>0</v>
      </c>
      <c r="T13" s="474">
        <f t="shared" si="8"/>
        <v>0</v>
      </c>
      <c r="U13" s="488">
        <f t="shared" si="9"/>
        <v>0</v>
      </c>
      <c r="V13" s="471">
        <f t="shared" si="34"/>
        <v>0</v>
      </c>
      <c r="W13" s="471">
        <f t="shared" si="10"/>
        <v>0</v>
      </c>
      <c r="X13" s="471">
        <f t="shared" si="11"/>
        <v>0</v>
      </c>
      <c r="Y13" s="470"/>
      <c r="Z13" s="470"/>
      <c r="AA13" s="469"/>
      <c r="AB13" s="475">
        <f t="shared" si="18"/>
        <v>0</v>
      </c>
      <c r="AC13" s="475">
        <f t="shared" si="19"/>
        <v>0</v>
      </c>
      <c r="AD13" s="475">
        <f t="shared" si="20"/>
        <v>0</v>
      </c>
      <c r="AE13" s="475">
        <f t="shared" si="21"/>
        <v>0</v>
      </c>
      <c r="AF13" s="476">
        <f t="shared" si="22"/>
        <v>0</v>
      </c>
      <c r="AG13" s="475">
        <f t="shared" si="23"/>
        <v>0</v>
      </c>
      <c r="AH13" s="476">
        <f t="shared" si="24"/>
        <v>0</v>
      </c>
      <c r="AI13" s="475">
        <f t="shared" si="25"/>
        <v>0</v>
      </c>
      <c r="AJ13" s="477">
        <f>IF((D13&lt;&gt;""),VLOOKUP(D13,Données!$E$36:$H$59,4,FALSE),)</f>
        <v>0</v>
      </c>
      <c r="AK13" s="477">
        <f t="shared" si="26"/>
        <v>0</v>
      </c>
      <c r="AL13" s="478">
        <f t="shared" si="27"/>
        <v>0</v>
      </c>
      <c r="AM13" s="479">
        <f t="shared" si="28"/>
        <v>0</v>
      </c>
      <c r="AN13" s="480">
        <f t="shared" si="12"/>
        <v>0</v>
      </c>
      <c r="AO13" s="477">
        <f t="shared" si="13"/>
        <v>0</v>
      </c>
      <c r="AP13" s="481">
        <f t="shared" si="29"/>
        <v>0</v>
      </c>
      <c r="AQ13" s="481">
        <f t="shared" si="30"/>
        <v>0</v>
      </c>
      <c r="AR13" s="481">
        <f t="shared" si="31"/>
        <v>0</v>
      </c>
      <c r="AS13" s="481">
        <f t="shared" si="32"/>
        <v>0</v>
      </c>
      <c r="AT13" s="479">
        <f t="shared" si="14"/>
        <v>0</v>
      </c>
      <c r="AU13" s="479">
        <f t="shared" si="15"/>
        <v>0</v>
      </c>
      <c r="AV13" s="471">
        <f>IF(Données!$H$8="x",AW13,AX13)</f>
        <v>1.5833333333333333</v>
      </c>
      <c r="AW13" s="471">
        <f t="shared" si="2"/>
        <v>0.79166666666666663</v>
      </c>
      <c r="AX13" s="471">
        <f t="shared" si="35"/>
        <v>1.5833333333333333</v>
      </c>
      <c r="AY13" s="467" t="str">
        <f t="shared" si="17"/>
        <v>Ma</v>
      </c>
      <c r="AZ13" s="478">
        <f>IF((S39="B4")*AND(S40&lt;&gt;""),VLOOKUP(S40,Échelle!$AI$5:$AJ$34,2),)</f>
        <v>0</v>
      </c>
      <c r="BA13" s="479" t="s">
        <v>6</v>
      </c>
      <c r="BB13" s="148"/>
    </row>
    <row r="14" spans="2:54" x14ac:dyDescent="0.2">
      <c r="B14" s="467" t="s">
        <v>178</v>
      </c>
      <c r="C14" s="468" t="s">
        <v>417</v>
      </c>
      <c r="D14" s="469"/>
      <c r="E14" s="469"/>
      <c r="F14" s="470"/>
      <c r="G14" s="470"/>
      <c r="H14" s="470"/>
      <c r="I14" s="470"/>
      <c r="J14" s="487"/>
      <c r="K14" s="487"/>
      <c r="L14" s="471">
        <f t="shared" si="0"/>
        <v>0</v>
      </c>
      <c r="M14" s="471">
        <f t="shared" si="33"/>
        <v>0.95</v>
      </c>
      <c r="N14" s="488">
        <f>IF(Mai!$H$48="x",AV14+Mai!$N$37,AV14)</f>
        <v>8.8666666666666636</v>
      </c>
      <c r="O14" s="483" t="str">
        <f t="shared" si="3"/>
        <v>-</v>
      </c>
      <c r="P14" s="489">
        <f t="shared" si="4"/>
        <v>7.9166666666666634</v>
      </c>
      <c r="Q14" s="474">
        <f t="shared" si="5"/>
        <v>0</v>
      </c>
      <c r="R14" s="474">
        <f t="shared" si="6"/>
        <v>0</v>
      </c>
      <c r="S14" s="474">
        <f t="shared" si="7"/>
        <v>0</v>
      </c>
      <c r="T14" s="474">
        <f t="shared" si="8"/>
        <v>0</v>
      </c>
      <c r="U14" s="488">
        <f t="shared" si="9"/>
        <v>0</v>
      </c>
      <c r="V14" s="471">
        <f t="shared" si="34"/>
        <v>0</v>
      </c>
      <c r="W14" s="471">
        <f t="shared" si="10"/>
        <v>0</v>
      </c>
      <c r="X14" s="471">
        <f t="shared" si="11"/>
        <v>0</v>
      </c>
      <c r="Y14" s="470"/>
      <c r="Z14" s="470"/>
      <c r="AA14" s="469"/>
      <c r="AB14" s="475">
        <f t="shared" si="18"/>
        <v>0</v>
      </c>
      <c r="AC14" s="475">
        <f t="shared" si="19"/>
        <v>0</v>
      </c>
      <c r="AD14" s="475">
        <f t="shared" si="20"/>
        <v>0</v>
      </c>
      <c r="AE14" s="475">
        <f t="shared" si="21"/>
        <v>0</v>
      </c>
      <c r="AF14" s="476">
        <f t="shared" si="22"/>
        <v>0</v>
      </c>
      <c r="AG14" s="475">
        <f t="shared" si="23"/>
        <v>0</v>
      </c>
      <c r="AH14" s="476">
        <f t="shared" si="24"/>
        <v>0</v>
      </c>
      <c r="AI14" s="475">
        <f t="shared" si="25"/>
        <v>0</v>
      </c>
      <c r="AJ14" s="477">
        <f>IF((D14&lt;&gt;""),VLOOKUP(D14,Données!$E$36:$H$59,4,FALSE),)</f>
        <v>0</v>
      </c>
      <c r="AK14" s="477">
        <f t="shared" si="26"/>
        <v>0</v>
      </c>
      <c r="AL14" s="478">
        <f t="shared" si="27"/>
        <v>0</v>
      </c>
      <c r="AM14" s="479">
        <f t="shared" si="28"/>
        <v>0</v>
      </c>
      <c r="AN14" s="480">
        <f t="shared" si="12"/>
        <v>0</v>
      </c>
      <c r="AO14" s="477">
        <f t="shared" si="13"/>
        <v>0</v>
      </c>
      <c r="AP14" s="481">
        <f t="shared" si="29"/>
        <v>0</v>
      </c>
      <c r="AQ14" s="481">
        <f t="shared" si="30"/>
        <v>0</v>
      </c>
      <c r="AR14" s="481">
        <f t="shared" si="31"/>
        <v>0</v>
      </c>
      <c r="AS14" s="481">
        <f t="shared" si="32"/>
        <v>0</v>
      </c>
      <c r="AT14" s="479">
        <f t="shared" si="14"/>
        <v>0</v>
      </c>
      <c r="AU14" s="479">
        <f t="shared" si="15"/>
        <v>0</v>
      </c>
      <c r="AV14" s="471">
        <f>IF(Données!$H$8="x",AW14,AX14)</f>
        <v>1.9</v>
      </c>
      <c r="AW14" s="471">
        <f t="shared" si="2"/>
        <v>0.95</v>
      </c>
      <c r="AX14" s="471">
        <f t="shared" si="35"/>
        <v>1.9</v>
      </c>
      <c r="AY14" s="467" t="str">
        <f t="shared" si="17"/>
        <v>Me</v>
      </c>
      <c r="AZ14" s="478">
        <f>IF((S39="B5")*AND(S40&lt;&gt;""),VLOOKUP(S40,Échelle!$AL$5:$AM$34,2),)</f>
        <v>0</v>
      </c>
      <c r="BA14" s="479" t="s">
        <v>7</v>
      </c>
      <c r="BB14" s="148"/>
    </row>
    <row r="15" spans="2:54" x14ac:dyDescent="0.2">
      <c r="B15" s="467" t="s">
        <v>180</v>
      </c>
      <c r="C15" s="468" t="s">
        <v>418</v>
      </c>
      <c r="D15" s="469"/>
      <c r="E15" s="469"/>
      <c r="F15" s="470"/>
      <c r="G15" s="470"/>
      <c r="H15" s="470"/>
      <c r="I15" s="470"/>
      <c r="J15" s="487"/>
      <c r="K15" s="487"/>
      <c r="L15" s="471">
        <f t="shared" si="0"/>
        <v>0</v>
      </c>
      <c r="M15" s="471">
        <f t="shared" si="33"/>
        <v>0.95</v>
      </c>
      <c r="N15" s="488">
        <f>IF(Mai!$H$48="x",AV15+Mai!$N$37,AV15)</f>
        <v>9.18333333333333</v>
      </c>
      <c r="O15" s="483" t="str">
        <f t="shared" si="3"/>
        <v>-</v>
      </c>
      <c r="P15" s="489">
        <f t="shared" si="4"/>
        <v>8.2333333333333307</v>
      </c>
      <c r="Q15" s="474">
        <f t="shared" si="5"/>
        <v>0</v>
      </c>
      <c r="R15" s="474">
        <f t="shared" si="6"/>
        <v>0</v>
      </c>
      <c r="S15" s="474">
        <f t="shared" si="7"/>
        <v>0</v>
      </c>
      <c r="T15" s="474">
        <f t="shared" si="8"/>
        <v>0</v>
      </c>
      <c r="U15" s="488">
        <f t="shared" si="9"/>
        <v>0</v>
      </c>
      <c r="V15" s="471">
        <f t="shared" si="34"/>
        <v>0</v>
      </c>
      <c r="W15" s="471">
        <f t="shared" si="10"/>
        <v>0</v>
      </c>
      <c r="X15" s="471">
        <f t="shared" si="11"/>
        <v>0</v>
      </c>
      <c r="Y15" s="470"/>
      <c r="Z15" s="470"/>
      <c r="AA15" s="469"/>
      <c r="AB15" s="475">
        <f t="shared" si="18"/>
        <v>0</v>
      </c>
      <c r="AC15" s="475">
        <f t="shared" si="19"/>
        <v>0</v>
      </c>
      <c r="AD15" s="475">
        <f t="shared" si="20"/>
        <v>0</v>
      </c>
      <c r="AE15" s="475">
        <f t="shared" si="21"/>
        <v>0</v>
      </c>
      <c r="AF15" s="476">
        <f t="shared" si="22"/>
        <v>0</v>
      </c>
      <c r="AG15" s="475">
        <f t="shared" si="23"/>
        <v>0</v>
      </c>
      <c r="AH15" s="476">
        <f t="shared" si="24"/>
        <v>0</v>
      </c>
      <c r="AI15" s="475">
        <f t="shared" si="25"/>
        <v>0</v>
      </c>
      <c r="AJ15" s="477">
        <f>IF((D15&lt;&gt;""),VLOOKUP(D15,Données!$E$36:$H$59,4,FALSE),)</f>
        <v>0</v>
      </c>
      <c r="AK15" s="477">
        <f t="shared" si="26"/>
        <v>0</v>
      </c>
      <c r="AL15" s="478">
        <f t="shared" si="27"/>
        <v>0</v>
      </c>
      <c r="AM15" s="479">
        <f t="shared" si="28"/>
        <v>0</v>
      </c>
      <c r="AN15" s="480">
        <f t="shared" si="12"/>
        <v>0</v>
      </c>
      <c r="AO15" s="477">
        <f t="shared" si="13"/>
        <v>0</v>
      </c>
      <c r="AP15" s="481">
        <f t="shared" si="29"/>
        <v>0</v>
      </c>
      <c r="AQ15" s="481">
        <f t="shared" si="30"/>
        <v>0</v>
      </c>
      <c r="AR15" s="481">
        <f t="shared" si="31"/>
        <v>0</v>
      </c>
      <c r="AS15" s="481">
        <f t="shared" si="32"/>
        <v>0</v>
      </c>
      <c r="AT15" s="479">
        <f t="shared" si="14"/>
        <v>0</v>
      </c>
      <c r="AU15" s="479">
        <f t="shared" si="15"/>
        <v>0</v>
      </c>
      <c r="AV15" s="471">
        <f>IF(Données!$H$8="x",AW15,AX15)</f>
        <v>2.2166666666666668</v>
      </c>
      <c r="AW15" s="471">
        <f t="shared" si="2"/>
        <v>1.1083333333333334</v>
      </c>
      <c r="AX15" s="471">
        <f t="shared" si="35"/>
        <v>2.2166666666666668</v>
      </c>
      <c r="AY15" s="467" t="str">
        <f t="shared" si="17"/>
        <v>Je</v>
      </c>
      <c r="AZ15" s="478">
        <f>IF((S39="M1.1")*AND(S40&lt;&gt;""),VLOOKUP(S40,Échelle!$AO$5:$AP$31,2),)</f>
        <v>0</v>
      </c>
      <c r="BA15" s="479" t="s">
        <v>8</v>
      </c>
      <c r="BB15" s="148"/>
    </row>
    <row r="16" spans="2:54" x14ac:dyDescent="0.2">
      <c r="B16" s="467" t="s">
        <v>182</v>
      </c>
      <c r="C16" s="468" t="s">
        <v>419</v>
      </c>
      <c r="D16" s="469"/>
      <c r="E16" s="469"/>
      <c r="F16" s="470"/>
      <c r="G16" s="470"/>
      <c r="H16" s="470"/>
      <c r="I16" s="470"/>
      <c r="J16" s="487"/>
      <c r="K16" s="487"/>
      <c r="L16" s="471">
        <f t="shared" si="0"/>
        <v>0</v>
      </c>
      <c r="M16" s="471">
        <f>M15+L16</f>
        <v>0.95</v>
      </c>
      <c r="N16" s="488">
        <f>IF(Mai!$H$48="x",AV16+Mai!$N$37,AV16)</f>
        <v>9.4999999999999964</v>
      </c>
      <c r="O16" s="483" t="str">
        <f t="shared" si="3"/>
        <v>-</v>
      </c>
      <c r="P16" s="489">
        <f t="shared" si="4"/>
        <v>8.5499999999999972</v>
      </c>
      <c r="Q16" s="474">
        <f t="shared" si="5"/>
        <v>0</v>
      </c>
      <c r="R16" s="474">
        <f t="shared" si="6"/>
        <v>0</v>
      </c>
      <c r="S16" s="474">
        <f t="shared" si="7"/>
        <v>0</v>
      </c>
      <c r="T16" s="474">
        <f t="shared" si="8"/>
        <v>0</v>
      </c>
      <c r="U16" s="488">
        <f t="shared" si="9"/>
        <v>0</v>
      </c>
      <c r="V16" s="471">
        <f t="shared" si="34"/>
        <v>0</v>
      </c>
      <c r="W16" s="471">
        <f t="shared" si="10"/>
        <v>0</v>
      </c>
      <c r="X16" s="471">
        <f t="shared" si="11"/>
        <v>0</v>
      </c>
      <c r="Y16" s="470"/>
      <c r="Z16" s="470"/>
      <c r="AA16" s="469"/>
      <c r="AB16" s="475">
        <f t="shared" si="18"/>
        <v>0</v>
      </c>
      <c r="AC16" s="475">
        <f t="shared" si="19"/>
        <v>0</v>
      </c>
      <c r="AD16" s="475">
        <f t="shared" si="20"/>
        <v>0</v>
      </c>
      <c r="AE16" s="475">
        <f t="shared" si="21"/>
        <v>0</v>
      </c>
      <c r="AF16" s="476">
        <f t="shared" si="22"/>
        <v>0</v>
      </c>
      <c r="AG16" s="475">
        <f t="shared" si="23"/>
        <v>0</v>
      </c>
      <c r="AH16" s="476">
        <f t="shared" si="24"/>
        <v>0</v>
      </c>
      <c r="AI16" s="475">
        <f t="shared" si="25"/>
        <v>0</v>
      </c>
      <c r="AJ16" s="477">
        <f>IF((D16&lt;&gt;""),VLOOKUP(D16,Données!$E$36:$H$59,4,FALSE),)</f>
        <v>0</v>
      </c>
      <c r="AK16" s="477">
        <f t="shared" si="26"/>
        <v>0</v>
      </c>
      <c r="AL16" s="478">
        <f t="shared" si="27"/>
        <v>0</v>
      </c>
      <c r="AM16" s="479">
        <f t="shared" si="28"/>
        <v>0</v>
      </c>
      <c r="AN16" s="480">
        <f t="shared" si="12"/>
        <v>0</v>
      </c>
      <c r="AO16" s="477">
        <f t="shared" si="13"/>
        <v>0</v>
      </c>
      <c r="AP16" s="481">
        <f t="shared" si="29"/>
        <v>0</v>
      </c>
      <c r="AQ16" s="481">
        <f t="shared" si="30"/>
        <v>0</v>
      </c>
      <c r="AR16" s="481">
        <f t="shared" si="31"/>
        <v>0</v>
      </c>
      <c r="AS16" s="481">
        <f t="shared" si="32"/>
        <v>0</v>
      </c>
      <c r="AT16" s="479">
        <f t="shared" si="14"/>
        <v>0</v>
      </c>
      <c r="AU16" s="479">
        <f t="shared" si="15"/>
        <v>0</v>
      </c>
      <c r="AV16" s="471">
        <f>IF(Données!$H$8="x",AW16,AX16)</f>
        <v>2.5333333333333332</v>
      </c>
      <c r="AW16" s="471">
        <f t="shared" si="2"/>
        <v>1.2666666666666666</v>
      </c>
      <c r="AX16" s="471">
        <f t="shared" si="35"/>
        <v>2.5333333333333332</v>
      </c>
      <c r="AY16" s="467" t="str">
        <f t="shared" si="17"/>
        <v>Ve</v>
      </c>
      <c r="AZ16" s="478">
        <f>IF((S39="M1.2")*AND(S40&lt;&gt;""),VLOOKUP(S40,Échelle!$AR$5:$AS$31,2),)</f>
        <v>0</v>
      </c>
      <c r="BA16" s="479" t="s">
        <v>9</v>
      </c>
      <c r="BB16" s="148"/>
    </row>
    <row r="17" spans="2:54" x14ac:dyDescent="0.2">
      <c r="B17" s="403" t="s">
        <v>184</v>
      </c>
      <c r="C17" s="412" t="s">
        <v>420</v>
      </c>
      <c r="D17" s="411"/>
      <c r="E17" s="411"/>
      <c r="F17" s="401"/>
      <c r="G17" s="401"/>
      <c r="H17" s="401"/>
      <c r="I17" s="401"/>
      <c r="J17" s="406"/>
      <c r="K17" s="406"/>
      <c r="L17" s="402">
        <f>(G17-F17)+(I17-H17)+(K17-J17)</f>
        <v>0</v>
      </c>
      <c r="M17" s="402">
        <f>M16+L17</f>
        <v>0.95</v>
      </c>
      <c r="N17" s="407">
        <f>IF(Mai!$H$48="x",AV17+Mai!$N$37,AV17)</f>
        <v>9.4999999999999964</v>
      </c>
      <c r="O17" s="408" t="str">
        <f t="shared" si="3"/>
        <v>-</v>
      </c>
      <c r="P17" s="409">
        <f t="shared" si="4"/>
        <v>8.5499999999999972</v>
      </c>
      <c r="Q17" s="410">
        <f t="shared" si="5"/>
        <v>0</v>
      </c>
      <c r="R17" s="410">
        <f t="shared" si="6"/>
        <v>0</v>
      </c>
      <c r="S17" s="410">
        <f t="shared" si="7"/>
        <v>0</v>
      </c>
      <c r="T17" s="410">
        <f t="shared" si="8"/>
        <v>0</v>
      </c>
      <c r="U17" s="407">
        <f t="shared" si="9"/>
        <v>0</v>
      </c>
      <c r="V17" s="402">
        <f>L17</f>
        <v>0</v>
      </c>
      <c r="W17" s="402">
        <f t="shared" si="10"/>
        <v>0</v>
      </c>
      <c r="X17" s="402">
        <f t="shared" si="11"/>
        <v>0</v>
      </c>
      <c r="Y17" s="401"/>
      <c r="Z17" s="401"/>
      <c r="AA17" s="411"/>
      <c r="AB17" s="420">
        <f t="shared" si="18"/>
        <v>0</v>
      </c>
      <c r="AC17" s="420">
        <f t="shared" si="19"/>
        <v>0</v>
      </c>
      <c r="AD17" s="420">
        <f t="shared" si="20"/>
        <v>0</v>
      </c>
      <c r="AE17" s="420">
        <f t="shared" si="21"/>
        <v>0</v>
      </c>
      <c r="AF17" s="421">
        <f t="shared" si="22"/>
        <v>0</v>
      </c>
      <c r="AG17" s="420">
        <f t="shared" si="23"/>
        <v>0</v>
      </c>
      <c r="AH17" s="421">
        <f t="shared" si="24"/>
        <v>0</v>
      </c>
      <c r="AI17" s="420">
        <f t="shared" si="25"/>
        <v>0</v>
      </c>
      <c r="AJ17" s="422">
        <f>IF((D17&lt;&gt;""),VLOOKUP(D17,Données!$E$36:$H$59,4,FALSE),)</f>
        <v>0</v>
      </c>
      <c r="AK17" s="422">
        <f t="shared" si="26"/>
        <v>0</v>
      </c>
      <c r="AL17" s="423">
        <f t="shared" si="27"/>
        <v>0</v>
      </c>
      <c r="AM17" s="424">
        <f t="shared" si="28"/>
        <v>0</v>
      </c>
      <c r="AN17" s="425">
        <f t="shared" si="12"/>
        <v>0</v>
      </c>
      <c r="AO17" s="422">
        <f t="shared" si="13"/>
        <v>0</v>
      </c>
      <c r="AP17" s="426">
        <f t="shared" si="29"/>
        <v>0</v>
      </c>
      <c r="AQ17" s="426">
        <f t="shared" si="30"/>
        <v>0</v>
      </c>
      <c r="AR17" s="426">
        <f t="shared" si="31"/>
        <v>0</v>
      </c>
      <c r="AS17" s="426">
        <f t="shared" si="32"/>
        <v>0</v>
      </c>
      <c r="AT17" s="424">
        <f t="shared" si="14"/>
        <v>0</v>
      </c>
      <c r="AU17" s="424">
        <f t="shared" si="15"/>
        <v>0</v>
      </c>
      <c r="AV17" s="402">
        <f>IF(Données!$H$8="x",AW17,AX17)</f>
        <v>2.5333333333333332</v>
      </c>
      <c r="AW17" s="402">
        <f t="shared" si="2"/>
        <v>1.2666666666666666</v>
      </c>
      <c r="AX17" s="402">
        <f>AX16</f>
        <v>2.5333333333333332</v>
      </c>
      <c r="AY17" s="403" t="str">
        <f t="shared" si="17"/>
        <v>Sa</v>
      </c>
      <c r="AZ17" s="423">
        <f>IF((S39="M2.1")*AND(S40&lt;&gt;""),VLOOKUP(S40,Échelle!$AU$5:$AV$31,2),)</f>
        <v>0</v>
      </c>
      <c r="BA17" s="424" t="s">
        <v>10</v>
      </c>
      <c r="BB17" s="148"/>
    </row>
    <row r="18" spans="2:54" x14ac:dyDescent="0.2">
      <c r="B18" s="403" t="s">
        <v>186</v>
      </c>
      <c r="C18" s="412" t="s">
        <v>421</v>
      </c>
      <c r="D18" s="411"/>
      <c r="E18" s="411"/>
      <c r="F18" s="401"/>
      <c r="G18" s="401"/>
      <c r="H18" s="401"/>
      <c r="I18" s="401"/>
      <c r="J18" s="406"/>
      <c r="K18" s="406"/>
      <c r="L18" s="402">
        <f>(G18-F18)+(I18-H18)+(K18-J18)</f>
        <v>0</v>
      </c>
      <c r="M18" s="402">
        <f t="shared" si="33"/>
        <v>0.95</v>
      </c>
      <c r="N18" s="407">
        <f>IF(Mai!$H$48="x",AV18+Mai!$N$37,AV18)</f>
        <v>9.4999999999999964</v>
      </c>
      <c r="O18" s="408" t="str">
        <f t="shared" si="3"/>
        <v>-</v>
      </c>
      <c r="P18" s="409">
        <f t="shared" si="4"/>
        <v>8.5499999999999972</v>
      </c>
      <c r="Q18" s="410">
        <f t="shared" si="5"/>
        <v>0</v>
      </c>
      <c r="R18" s="410">
        <f t="shared" si="6"/>
        <v>0</v>
      </c>
      <c r="S18" s="410">
        <f t="shared" si="7"/>
        <v>0</v>
      </c>
      <c r="T18" s="410">
        <f t="shared" si="8"/>
        <v>0</v>
      </c>
      <c r="U18" s="407">
        <f t="shared" si="9"/>
        <v>0</v>
      </c>
      <c r="V18" s="402">
        <f>L18</f>
        <v>0</v>
      </c>
      <c r="W18" s="402">
        <f t="shared" si="10"/>
        <v>0</v>
      </c>
      <c r="X18" s="402">
        <f t="shared" si="11"/>
        <v>0</v>
      </c>
      <c r="Y18" s="401"/>
      <c r="Z18" s="401"/>
      <c r="AA18" s="411"/>
      <c r="AB18" s="420">
        <f t="shared" si="18"/>
        <v>0</v>
      </c>
      <c r="AC18" s="420">
        <f t="shared" si="19"/>
        <v>0</v>
      </c>
      <c r="AD18" s="420">
        <f t="shared" si="20"/>
        <v>0</v>
      </c>
      <c r="AE18" s="420">
        <f t="shared" si="21"/>
        <v>0</v>
      </c>
      <c r="AF18" s="421">
        <f t="shared" si="22"/>
        <v>0</v>
      </c>
      <c r="AG18" s="420">
        <f t="shared" si="23"/>
        <v>0</v>
      </c>
      <c r="AH18" s="421">
        <f t="shared" si="24"/>
        <v>0</v>
      </c>
      <c r="AI18" s="420">
        <f t="shared" si="25"/>
        <v>0</v>
      </c>
      <c r="AJ18" s="422">
        <f>IF((D18&lt;&gt;""),VLOOKUP(D18,Données!$E$36:$H$59,4,FALSE),)</f>
        <v>0</v>
      </c>
      <c r="AK18" s="422">
        <f t="shared" si="26"/>
        <v>0</v>
      </c>
      <c r="AL18" s="423">
        <f t="shared" si="27"/>
        <v>0</v>
      </c>
      <c r="AM18" s="424">
        <f t="shared" si="28"/>
        <v>0</v>
      </c>
      <c r="AN18" s="425">
        <f t="shared" si="12"/>
        <v>0</v>
      </c>
      <c r="AO18" s="422">
        <f t="shared" si="13"/>
        <v>0</v>
      </c>
      <c r="AP18" s="426">
        <f t="shared" si="29"/>
        <v>0</v>
      </c>
      <c r="AQ18" s="426">
        <f t="shared" si="30"/>
        <v>0</v>
      </c>
      <c r="AR18" s="426">
        <f t="shared" si="31"/>
        <v>0</v>
      </c>
      <c r="AS18" s="426">
        <f t="shared" si="32"/>
        <v>0</v>
      </c>
      <c r="AT18" s="424">
        <f t="shared" si="14"/>
        <v>0</v>
      </c>
      <c r="AU18" s="424">
        <f t="shared" si="15"/>
        <v>0</v>
      </c>
      <c r="AV18" s="402">
        <f>IF(Données!$H$8="x",AW18,AX18)</f>
        <v>2.5333333333333332</v>
      </c>
      <c r="AW18" s="402">
        <f t="shared" si="2"/>
        <v>1.2666666666666666</v>
      </c>
      <c r="AX18" s="402">
        <f>AX17</f>
        <v>2.5333333333333332</v>
      </c>
      <c r="AY18" s="403" t="str">
        <f t="shared" si="17"/>
        <v>Di</v>
      </c>
      <c r="AZ18" s="423">
        <f>IF((S39="M2.2")*AND(S40&lt;&gt;""),VLOOKUP(S40,Échelle!$AX$5:$AY$31,2),)</f>
        <v>0</v>
      </c>
      <c r="BA18" s="424" t="s">
        <v>11</v>
      </c>
      <c r="BB18" s="148"/>
    </row>
    <row r="19" spans="2:54" x14ac:dyDescent="0.2">
      <c r="B19" s="467" t="s">
        <v>188</v>
      </c>
      <c r="C19" s="468" t="s">
        <v>422</v>
      </c>
      <c r="D19" s="469"/>
      <c r="E19" s="469"/>
      <c r="F19" s="470"/>
      <c r="G19" s="470"/>
      <c r="H19" s="470"/>
      <c r="I19" s="470"/>
      <c r="J19" s="487"/>
      <c r="K19" s="487"/>
      <c r="L19" s="471">
        <f>(G19-F19)+(I19-H19)+(K19-J19)+AJ19+AO19</f>
        <v>0</v>
      </c>
      <c r="M19" s="471">
        <f t="shared" si="33"/>
        <v>0.95</v>
      </c>
      <c r="N19" s="488">
        <f>IF(Mai!$H$48="x",AV19+Mai!$N$37,AV19)</f>
        <v>9.8166666666666629</v>
      </c>
      <c r="O19" s="483" t="str">
        <f t="shared" si="3"/>
        <v>-</v>
      </c>
      <c r="P19" s="489">
        <f t="shared" si="4"/>
        <v>8.8666666666666636</v>
      </c>
      <c r="Q19" s="474">
        <f t="shared" si="5"/>
        <v>0</v>
      </c>
      <c r="R19" s="474">
        <f t="shared" si="6"/>
        <v>0</v>
      </c>
      <c r="S19" s="474">
        <f t="shared" si="7"/>
        <v>0</v>
      </c>
      <c r="T19" s="474">
        <f t="shared" si="8"/>
        <v>0</v>
      </c>
      <c r="U19" s="488">
        <f t="shared" si="9"/>
        <v>0</v>
      </c>
      <c r="V19" s="471">
        <f t="shared" ref="V19:V23" si="36">IF(D19="F",L19,0)</f>
        <v>0</v>
      </c>
      <c r="W19" s="471">
        <f t="shared" si="10"/>
        <v>0</v>
      </c>
      <c r="X19" s="471">
        <f t="shared" si="11"/>
        <v>0</v>
      </c>
      <c r="Y19" s="470"/>
      <c r="Z19" s="470"/>
      <c r="AA19" s="469"/>
      <c r="AB19" s="475">
        <f t="shared" si="18"/>
        <v>0</v>
      </c>
      <c r="AC19" s="475">
        <f t="shared" si="19"/>
        <v>0</v>
      </c>
      <c r="AD19" s="475">
        <f t="shared" si="20"/>
        <v>0</v>
      </c>
      <c r="AE19" s="475">
        <f t="shared" si="21"/>
        <v>0</v>
      </c>
      <c r="AF19" s="476">
        <f t="shared" si="22"/>
        <v>0</v>
      </c>
      <c r="AG19" s="475">
        <f t="shared" si="23"/>
        <v>0</v>
      </c>
      <c r="AH19" s="476">
        <f t="shared" si="24"/>
        <v>0</v>
      </c>
      <c r="AI19" s="475">
        <f t="shared" si="25"/>
        <v>0</v>
      </c>
      <c r="AJ19" s="477">
        <f>IF((D19&lt;&gt;""),VLOOKUP(D19,Données!$E$36:$H$59,4,FALSE),)</f>
        <v>0</v>
      </c>
      <c r="AK19" s="477">
        <f t="shared" si="26"/>
        <v>0</v>
      </c>
      <c r="AL19" s="478">
        <f t="shared" si="27"/>
        <v>0</v>
      </c>
      <c r="AM19" s="479">
        <f t="shared" si="28"/>
        <v>0</v>
      </c>
      <c r="AN19" s="480">
        <f t="shared" si="12"/>
        <v>0</v>
      </c>
      <c r="AO19" s="477">
        <f t="shared" si="13"/>
        <v>0</v>
      </c>
      <c r="AP19" s="481">
        <f t="shared" si="29"/>
        <v>0</v>
      </c>
      <c r="AQ19" s="481">
        <f t="shared" si="30"/>
        <v>0</v>
      </c>
      <c r="AR19" s="481">
        <f t="shared" si="31"/>
        <v>0</v>
      </c>
      <c r="AS19" s="481">
        <f t="shared" si="32"/>
        <v>0</v>
      </c>
      <c r="AT19" s="479">
        <f t="shared" si="14"/>
        <v>0</v>
      </c>
      <c r="AU19" s="479">
        <f t="shared" si="15"/>
        <v>0</v>
      </c>
      <c r="AV19" s="471">
        <f>IF(Données!$H$8="x",AW19,AX19)</f>
        <v>2.8499999999999996</v>
      </c>
      <c r="AW19" s="471">
        <f t="shared" si="2"/>
        <v>1.4249999999999998</v>
      </c>
      <c r="AX19" s="471">
        <f t="shared" ref="AX19:AX23" si="37">IF(D19="L",AX18,(AX18+"07:36"))</f>
        <v>2.8499999999999996</v>
      </c>
      <c r="AY19" s="467" t="str">
        <f t="shared" si="17"/>
        <v>Lu</v>
      </c>
      <c r="AZ19" s="478">
        <f>IF((S39="M3.1")*AND(S40&lt;&gt;""),VLOOKUP(S40,Échelle!$BA$5:$BB$31,2),)</f>
        <v>0</v>
      </c>
      <c r="BA19" s="479" t="s">
        <v>12</v>
      </c>
      <c r="BB19" s="148"/>
    </row>
    <row r="20" spans="2:54" x14ac:dyDescent="0.2">
      <c r="B20" s="467" t="s">
        <v>176</v>
      </c>
      <c r="C20" s="468" t="s">
        <v>423</v>
      </c>
      <c r="D20" s="469"/>
      <c r="E20" s="469"/>
      <c r="F20" s="470"/>
      <c r="G20" s="470"/>
      <c r="H20" s="470"/>
      <c r="I20" s="470"/>
      <c r="J20" s="487"/>
      <c r="K20" s="487"/>
      <c r="L20" s="471">
        <f>(G20-F20)+(I20-H20)+(K20-J20)+AJ20+AO20</f>
        <v>0</v>
      </c>
      <c r="M20" s="471">
        <f t="shared" si="33"/>
        <v>0.95</v>
      </c>
      <c r="N20" s="488">
        <f>IF(Mai!$H$48="x",AV20+Mai!$N$37,AV20)</f>
        <v>10.133333333333329</v>
      </c>
      <c r="O20" s="483" t="str">
        <f t="shared" si="3"/>
        <v>-</v>
      </c>
      <c r="P20" s="489">
        <f t="shared" si="4"/>
        <v>9.18333333333333</v>
      </c>
      <c r="Q20" s="474">
        <f t="shared" si="5"/>
        <v>0</v>
      </c>
      <c r="R20" s="474">
        <f t="shared" si="6"/>
        <v>0</v>
      </c>
      <c r="S20" s="474">
        <f t="shared" si="7"/>
        <v>0</v>
      </c>
      <c r="T20" s="474">
        <f t="shared" si="8"/>
        <v>0</v>
      </c>
      <c r="U20" s="488">
        <f t="shared" si="9"/>
        <v>0</v>
      </c>
      <c r="V20" s="471">
        <f t="shared" si="36"/>
        <v>0</v>
      </c>
      <c r="W20" s="471">
        <f t="shared" si="10"/>
        <v>0</v>
      </c>
      <c r="X20" s="471">
        <f t="shared" si="11"/>
        <v>0</v>
      </c>
      <c r="Y20" s="470"/>
      <c r="Z20" s="470"/>
      <c r="AA20" s="469"/>
      <c r="AB20" s="475">
        <f t="shared" si="18"/>
        <v>0</v>
      </c>
      <c r="AC20" s="475">
        <f t="shared" si="19"/>
        <v>0</v>
      </c>
      <c r="AD20" s="475">
        <f t="shared" si="20"/>
        <v>0</v>
      </c>
      <c r="AE20" s="475">
        <f t="shared" si="21"/>
        <v>0</v>
      </c>
      <c r="AF20" s="476">
        <f t="shared" si="22"/>
        <v>0</v>
      </c>
      <c r="AG20" s="475">
        <f t="shared" si="23"/>
        <v>0</v>
      </c>
      <c r="AH20" s="476">
        <f t="shared" si="24"/>
        <v>0</v>
      </c>
      <c r="AI20" s="475">
        <f t="shared" si="25"/>
        <v>0</v>
      </c>
      <c r="AJ20" s="477">
        <f>IF((D20&lt;&gt;""),VLOOKUP(D20,Données!$E$36:$H$59,4,FALSE),)</f>
        <v>0</v>
      </c>
      <c r="AK20" s="477">
        <f t="shared" si="26"/>
        <v>0</v>
      </c>
      <c r="AL20" s="478">
        <f t="shared" si="27"/>
        <v>0</v>
      </c>
      <c r="AM20" s="479">
        <f t="shared" si="28"/>
        <v>0</v>
      </c>
      <c r="AN20" s="480">
        <f t="shared" si="12"/>
        <v>0</v>
      </c>
      <c r="AO20" s="477">
        <f t="shared" si="13"/>
        <v>0</v>
      </c>
      <c r="AP20" s="481">
        <f t="shared" si="29"/>
        <v>0</v>
      </c>
      <c r="AQ20" s="481">
        <f t="shared" si="30"/>
        <v>0</v>
      </c>
      <c r="AR20" s="481">
        <f t="shared" si="31"/>
        <v>0</v>
      </c>
      <c r="AS20" s="481">
        <f t="shared" si="32"/>
        <v>0</v>
      </c>
      <c r="AT20" s="479">
        <f t="shared" si="14"/>
        <v>0</v>
      </c>
      <c r="AU20" s="479">
        <f t="shared" si="15"/>
        <v>0</v>
      </c>
      <c r="AV20" s="471">
        <f>IF(Données!$H$8="x",AW20,AX20)</f>
        <v>3.1666666666666661</v>
      </c>
      <c r="AW20" s="471">
        <f t="shared" si="2"/>
        <v>1.583333333333333</v>
      </c>
      <c r="AX20" s="471">
        <f t="shared" si="37"/>
        <v>3.1666666666666661</v>
      </c>
      <c r="AY20" s="467" t="str">
        <f t="shared" si="17"/>
        <v>Ma</v>
      </c>
      <c r="AZ20" s="478">
        <f>IF((S39="M3.2")*AND(S40&lt;&gt;""),VLOOKUP(S40,Échelle!$BD$5:$BE$31,2),)</f>
        <v>0</v>
      </c>
      <c r="BA20" s="479" t="s">
        <v>13</v>
      </c>
      <c r="BB20" s="148"/>
    </row>
    <row r="21" spans="2:54" x14ac:dyDescent="0.2">
      <c r="B21" s="467" t="s">
        <v>178</v>
      </c>
      <c r="C21" s="468" t="s">
        <v>424</v>
      </c>
      <c r="D21" s="469"/>
      <c r="E21" s="469"/>
      <c r="F21" s="470"/>
      <c r="G21" s="470"/>
      <c r="H21" s="470"/>
      <c r="I21" s="470"/>
      <c r="J21" s="487"/>
      <c r="K21" s="487"/>
      <c r="L21" s="471">
        <f>(G21-F21)+(I21-H21)+(K21-J21)+AJ21+AO21</f>
        <v>0</v>
      </c>
      <c r="M21" s="471">
        <f t="shared" si="33"/>
        <v>0.95</v>
      </c>
      <c r="N21" s="488">
        <f>IF(Mai!$H$48="x",AV21+Mai!$N$37,AV21)</f>
        <v>10.449999999999996</v>
      </c>
      <c r="O21" s="483" t="str">
        <f t="shared" si="3"/>
        <v>-</v>
      </c>
      <c r="P21" s="489">
        <f t="shared" si="4"/>
        <v>9.4999999999999964</v>
      </c>
      <c r="Q21" s="474">
        <f t="shared" si="5"/>
        <v>0</v>
      </c>
      <c r="R21" s="474">
        <f t="shared" si="6"/>
        <v>0</v>
      </c>
      <c r="S21" s="474">
        <f t="shared" si="7"/>
        <v>0</v>
      </c>
      <c r="T21" s="474">
        <f t="shared" si="8"/>
        <v>0</v>
      </c>
      <c r="U21" s="488">
        <f t="shared" si="9"/>
        <v>0</v>
      </c>
      <c r="V21" s="471">
        <f t="shared" si="36"/>
        <v>0</v>
      </c>
      <c r="W21" s="471">
        <f t="shared" si="10"/>
        <v>0</v>
      </c>
      <c r="X21" s="471">
        <f t="shared" si="11"/>
        <v>0</v>
      </c>
      <c r="Y21" s="470"/>
      <c r="Z21" s="470"/>
      <c r="AA21" s="469"/>
      <c r="AB21" s="475">
        <f t="shared" si="18"/>
        <v>0</v>
      </c>
      <c r="AC21" s="475">
        <f t="shared" si="19"/>
        <v>0</v>
      </c>
      <c r="AD21" s="475">
        <f t="shared" si="20"/>
        <v>0</v>
      </c>
      <c r="AE21" s="475">
        <f t="shared" si="21"/>
        <v>0</v>
      </c>
      <c r="AF21" s="476">
        <f t="shared" si="22"/>
        <v>0</v>
      </c>
      <c r="AG21" s="475">
        <f t="shared" si="23"/>
        <v>0</v>
      </c>
      <c r="AH21" s="476">
        <f t="shared" si="24"/>
        <v>0</v>
      </c>
      <c r="AI21" s="475">
        <f t="shared" si="25"/>
        <v>0</v>
      </c>
      <c r="AJ21" s="477">
        <f>IF((D21&lt;&gt;""),VLOOKUP(D21,Données!$E$36:$H$59,4,FALSE),)</f>
        <v>0</v>
      </c>
      <c r="AK21" s="477">
        <f t="shared" si="26"/>
        <v>0</v>
      </c>
      <c r="AL21" s="478">
        <f t="shared" si="27"/>
        <v>0</v>
      </c>
      <c r="AM21" s="479">
        <f t="shared" si="28"/>
        <v>0</v>
      </c>
      <c r="AN21" s="480">
        <f t="shared" si="12"/>
        <v>0</v>
      </c>
      <c r="AO21" s="477">
        <f t="shared" si="13"/>
        <v>0</v>
      </c>
      <c r="AP21" s="481">
        <f t="shared" si="29"/>
        <v>0</v>
      </c>
      <c r="AQ21" s="481">
        <f t="shared" si="30"/>
        <v>0</v>
      </c>
      <c r="AR21" s="481">
        <f t="shared" si="31"/>
        <v>0</v>
      </c>
      <c r="AS21" s="481">
        <f t="shared" si="32"/>
        <v>0</v>
      </c>
      <c r="AT21" s="479">
        <f t="shared" si="14"/>
        <v>0</v>
      </c>
      <c r="AU21" s="479">
        <f t="shared" si="15"/>
        <v>0</v>
      </c>
      <c r="AV21" s="471">
        <f>IF(Données!$H$8="x",AW21,AX21)</f>
        <v>3.4833333333333325</v>
      </c>
      <c r="AW21" s="471">
        <f t="shared" si="2"/>
        <v>1.7416666666666663</v>
      </c>
      <c r="AX21" s="471">
        <f t="shared" si="37"/>
        <v>3.4833333333333325</v>
      </c>
      <c r="AY21" s="467" t="str">
        <f t="shared" si="17"/>
        <v>Me</v>
      </c>
      <c r="AZ21" s="478">
        <f>IF((S39="M4.1")*AND(S40&lt;&gt;""),VLOOKUP(S40,Échelle!$BJ$39:$BK$68,2),)</f>
        <v>32127.200000000001</v>
      </c>
      <c r="BA21" s="479" t="s">
        <v>14</v>
      </c>
      <c r="BB21" s="148"/>
    </row>
    <row r="22" spans="2:54" x14ac:dyDescent="0.2">
      <c r="B22" s="467" t="s">
        <v>180</v>
      </c>
      <c r="C22" s="468" t="s">
        <v>425</v>
      </c>
      <c r="D22" s="469"/>
      <c r="E22" s="469"/>
      <c r="F22" s="470"/>
      <c r="G22" s="470"/>
      <c r="H22" s="470"/>
      <c r="I22" s="470"/>
      <c r="J22" s="487"/>
      <c r="K22" s="487"/>
      <c r="L22" s="471">
        <f>(G22-F22)+(I22-H22)+(K22-J22)+AJ22+AO22</f>
        <v>0</v>
      </c>
      <c r="M22" s="471">
        <f t="shared" si="33"/>
        <v>0.95</v>
      </c>
      <c r="N22" s="488">
        <f>IF(Mai!$H$48="x",AV22+Mai!$N$37,AV22)</f>
        <v>10.766666666666662</v>
      </c>
      <c r="O22" s="483" t="str">
        <f t="shared" si="3"/>
        <v>-</v>
      </c>
      <c r="P22" s="489">
        <f t="shared" si="4"/>
        <v>9.8166666666666629</v>
      </c>
      <c r="Q22" s="474">
        <f t="shared" si="5"/>
        <v>0</v>
      </c>
      <c r="R22" s="474">
        <f t="shared" si="6"/>
        <v>0</v>
      </c>
      <c r="S22" s="474">
        <f t="shared" si="7"/>
        <v>0</v>
      </c>
      <c r="T22" s="474">
        <f t="shared" si="8"/>
        <v>0</v>
      </c>
      <c r="U22" s="488">
        <f t="shared" si="9"/>
        <v>0</v>
      </c>
      <c r="V22" s="471">
        <f t="shared" si="36"/>
        <v>0</v>
      </c>
      <c r="W22" s="471">
        <f t="shared" si="10"/>
        <v>0</v>
      </c>
      <c r="X22" s="471">
        <f t="shared" si="11"/>
        <v>0</v>
      </c>
      <c r="Y22" s="470"/>
      <c r="Z22" s="470"/>
      <c r="AA22" s="469"/>
      <c r="AB22" s="475">
        <f t="shared" si="18"/>
        <v>0</v>
      </c>
      <c r="AC22" s="475">
        <f t="shared" si="19"/>
        <v>0</v>
      </c>
      <c r="AD22" s="475">
        <f t="shared" si="20"/>
        <v>0</v>
      </c>
      <c r="AE22" s="475">
        <f t="shared" si="21"/>
        <v>0</v>
      </c>
      <c r="AF22" s="476">
        <f t="shared" si="22"/>
        <v>0</v>
      </c>
      <c r="AG22" s="475">
        <f t="shared" si="23"/>
        <v>0</v>
      </c>
      <c r="AH22" s="476">
        <f t="shared" si="24"/>
        <v>0</v>
      </c>
      <c r="AI22" s="475">
        <f t="shared" si="25"/>
        <v>0</v>
      </c>
      <c r="AJ22" s="477">
        <f>IF((D22&lt;&gt;""),VLOOKUP(D22,Données!$E$36:$H$59,4,FALSE),)</f>
        <v>0</v>
      </c>
      <c r="AK22" s="477">
        <f t="shared" si="26"/>
        <v>0</v>
      </c>
      <c r="AL22" s="478">
        <f t="shared" si="27"/>
        <v>0</v>
      </c>
      <c r="AM22" s="479">
        <f t="shared" si="28"/>
        <v>0</v>
      </c>
      <c r="AN22" s="480">
        <f t="shared" si="12"/>
        <v>0</v>
      </c>
      <c r="AO22" s="477">
        <f t="shared" si="13"/>
        <v>0</v>
      </c>
      <c r="AP22" s="481">
        <f t="shared" si="29"/>
        <v>0</v>
      </c>
      <c r="AQ22" s="481">
        <f t="shared" si="30"/>
        <v>0</v>
      </c>
      <c r="AR22" s="481">
        <f t="shared" si="31"/>
        <v>0</v>
      </c>
      <c r="AS22" s="481">
        <f t="shared" si="32"/>
        <v>0</v>
      </c>
      <c r="AT22" s="479">
        <f t="shared" si="14"/>
        <v>0</v>
      </c>
      <c r="AU22" s="479">
        <f t="shared" si="15"/>
        <v>0</v>
      </c>
      <c r="AV22" s="471">
        <f>IF(Données!$H$8="x",AW22,AX22)</f>
        <v>3.7999999999999989</v>
      </c>
      <c r="AW22" s="471">
        <f t="shared" si="2"/>
        <v>1.8999999999999995</v>
      </c>
      <c r="AX22" s="471">
        <f t="shared" si="37"/>
        <v>3.7999999999999989</v>
      </c>
      <c r="AY22" s="467" t="str">
        <f t="shared" si="17"/>
        <v>Je</v>
      </c>
      <c r="AZ22" s="478">
        <f>IF((S39="M4.2")*AND(S40&lt;&gt;""),VLOOKUP(S40,Échelle!$BJ$5:$BK$31,2),)</f>
        <v>0</v>
      </c>
      <c r="BA22" s="479" t="s">
        <v>15</v>
      </c>
      <c r="BB22" s="148"/>
    </row>
    <row r="23" spans="2:54" x14ac:dyDescent="0.2">
      <c r="B23" s="467" t="s">
        <v>182</v>
      </c>
      <c r="C23" s="468" t="s">
        <v>426</v>
      </c>
      <c r="D23" s="469"/>
      <c r="E23" s="469"/>
      <c r="F23" s="470"/>
      <c r="G23" s="470"/>
      <c r="H23" s="470"/>
      <c r="I23" s="470"/>
      <c r="J23" s="487"/>
      <c r="K23" s="487"/>
      <c r="L23" s="471">
        <f>(G23-F23)+(I23-H23)+(K23-J23)+AJ23+AO23</f>
        <v>0</v>
      </c>
      <c r="M23" s="471">
        <f>M22+L23</f>
        <v>0.95</v>
      </c>
      <c r="N23" s="488">
        <f>IF(Mai!$H$48="x",AV23+Mai!$N$37,AV23)</f>
        <v>11.083333333333329</v>
      </c>
      <c r="O23" s="483" t="str">
        <f t="shared" si="3"/>
        <v>-</v>
      </c>
      <c r="P23" s="489">
        <f t="shared" si="4"/>
        <v>10.133333333333329</v>
      </c>
      <c r="Q23" s="474">
        <f t="shared" si="5"/>
        <v>0</v>
      </c>
      <c r="R23" s="474">
        <f t="shared" si="6"/>
        <v>0</v>
      </c>
      <c r="S23" s="474">
        <f t="shared" si="7"/>
        <v>0</v>
      </c>
      <c r="T23" s="474">
        <f t="shared" si="8"/>
        <v>0</v>
      </c>
      <c r="U23" s="488">
        <f t="shared" si="9"/>
        <v>0</v>
      </c>
      <c r="V23" s="471">
        <f t="shared" si="36"/>
        <v>0</v>
      </c>
      <c r="W23" s="471">
        <f t="shared" si="10"/>
        <v>0</v>
      </c>
      <c r="X23" s="471">
        <f t="shared" si="11"/>
        <v>0</v>
      </c>
      <c r="Y23" s="470"/>
      <c r="Z23" s="470"/>
      <c r="AA23" s="469"/>
      <c r="AB23" s="475">
        <f t="shared" si="18"/>
        <v>0</v>
      </c>
      <c r="AC23" s="475">
        <f t="shared" si="19"/>
        <v>0</v>
      </c>
      <c r="AD23" s="475">
        <f t="shared" si="20"/>
        <v>0</v>
      </c>
      <c r="AE23" s="475">
        <f t="shared" si="21"/>
        <v>0</v>
      </c>
      <c r="AF23" s="476">
        <f t="shared" si="22"/>
        <v>0</v>
      </c>
      <c r="AG23" s="475">
        <f t="shared" si="23"/>
        <v>0</v>
      </c>
      <c r="AH23" s="476">
        <f t="shared" si="24"/>
        <v>0</v>
      </c>
      <c r="AI23" s="475">
        <f t="shared" si="25"/>
        <v>0</v>
      </c>
      <c r="AJ23" s="477">
        <f>IF((D23&lt;&gt;""),VLOOKUP(D23,Données!$E$36:$H$59,4,FALSE),)</f>
        <v>0</v>
      </c>
      <c r="AK23" s="477">
        <f t="shared" si="26"/>
        <v>0</v>
      </c>
      <c r="AL23" s="478">
        <f t="shared" si="27"/>
        <v>0</v>
      </c>
      <c r="AM23" s="479">
        <f t="shared" si="28"/>
        <v>0</v>
      </c>
      <c r="AN23" s="480">
        <f t="shared" si="12"/>
        <v>0</v>
      </c>
      <c r="AO23" s="477">
        <f t="shared" si="13"/>
        <v>0</v>
      </c>
      <c r="AP23" s="481">
        <f t="shared" si="29"/>
        <v>0</v>
      </c>
      <c r="AQ23" s="481">
        <f t="shared" si="30"/>
        <v>0</v>
      </c>
      <c r="AR23" s="481">
        <f t="shared" si="31"/>
        <v>0</v>
      </c>
      <c r="AS23" s="481">
        <f t="shared" si="32"/>
        <v>0</v>
      </c>
      <c r="AT23" s="479">
        <f t="shared" si="14"/>
        <v>0</v>
      </c>
      <c r="AU23" s="479">
        <f t="shared" si="15"/>
        <v>0</v>
      </c>
      <c r="AV23" s="471">
        <f>IF(Données!$H$8="x",AW23,AX23)</f>
        <v>4.1166666666666654</v>
      </c>
      <c r="AW23" s="471">
        <f t="shared" si="2"/>
        <v>2.0583333333333327</v>
      </c>
      <c r="AX23" s="471">
        <f t="shared" si="37"/>
        <v>4.1166666666666654</v>
      </c>
      <c r="AY23" s="467" t="str">
        <f t="shared" si="17"/>
        <v>Ve</v>
      </c>
      <c r="AZ23" s="478">
        <f>IF((S39="M5.1")*AND(S40&lt;&gt;""),VLOOKUP(S40,Échelle!$BM$5:$BN$31,2),)</f>
        <v>0</v>
      </c>
      <c r="BA23" s="479" t="s">
        <v>16</v>
      </c>
      <c r="BB23" s="148"/>
    </row>
    <row r="24" spans="2:54" x14ac:dyDescent="0.2">
      <c r="B24" s="403" t="s">
        <v>184</v>
      </c>
      <c r="C24" s="412" t="s">
        <v>427</v>
      </c>
      <c r="D24" s="411"/>
      <c r="E24" s="411"/>
      <c r="F24" s="401"/>
      <c r="G24" s="401"/>
      <c r="H24" s="401"/>
      <c r="I24" s="401"/>
      <c r="J24" s="406"/>
      <c r="K24" s="406"/>
      <c r="L24" s="402">
        <f>(G24-F24)+(I24-H24)+(K24-J24)</f>
        <v>0</v>
      </c>
      <c r="M24" s="402">
        <f>M23+L24</f>
        <v>0.95</v>
      </c>
      <c r="N24" s="407">
        <f>IF(Mai!$H$48="x",AV24+Mai!$N$37,AV24)</f>
        <v>11.083333333333329</v>
      </c>
      <c r="O24" s="408" t="str">
        <f t="shared" si="3"/>
        <v>-</v>
      </c>
      <c r="P24" s="409">
        <f t="shared" si="4"/>
        <v>10.133333333333329</v>
      </c>
      <c r="Q24" s="410">
        <f t="shared" si="5"/>
        <v>0</v>
      </c>
      <c r="R24" s="410">
        <f t="shared" si="6"/>
        <v>0</v>
      </c>
      <c r="S24" s="410">
        <f t="shared" si="7"/>
        <v>0</v>
      </c>
      <c r="T24" s="410">
        <f t="shared" si="8"/>
        <v>0</v>
      </c>
      <c r="U24" s="407">
        <f t="shared" si="9"/>
        <v>0</v>
      </c>
      <c r="V24" s="402">
        <f>L24</f>
        <v>0</v>
      </c>
      <c r="W24" s="402">
        <f t="shared" si="10"/>
        <v>0</v>
      </c>
      <c r="X24" s="402">
        <f t="shared" si="11"/>
        <v>0</v>
      </c>
      <c r="Y24" s="401"/>
      <c r="Z24" s="401"/>
      <c r="AA24" s="411"/>
      <c r="AB24" s="420">
        <f t="shared" si="18"/>
        <v>0</v>
      </c>
      <c r="AC24" s="420">
        <f t="shared" si="19"/>
        <v>0</v>
      </c>
      <c r="AD24" s="420">
        <f t="shared" si="20"/>
        <v>0</v>
      </c>
      <c r="AE24" s="420">
        <f t="shared" si="21"/>
        <v>0</v>
      </c>
      <c r="AF24" s="421">
        <f t="shared" si="22"/>
        <v>0</v>
      </c>
      <c r="AG24" s="420">
        <f t="shared" si="23"/>
        <v>0</v>
      </c>
      <c r="AH24" s="421">
        <f t="shared" si="24"/>
        <v>0</v>
      </c>
      <c r="AI24" s="420">
        <f t="shared" si="25"/>
        <v>0</v>
      </c>
      <c r="AJ24" s="422">
        <f>IF((D24&lt;&gt;""),VLOOKUP(D24,Données!$E$36:$H$59,4,FALSE),)</f>
        <v>0</v>
      </c>
      <c r="AK24" s="422">
        <f t="shared" si="26"/>
        <v>0</v>
      </c>
      <c r="AL24" s="423">
        <f t="shared" si="27"/>
        <v>0</v>
      </c>
      <c r="AM24" s="424">
        <f t="shared" si="28"/>
        <v>0</v>
      </c>
      <c r="AN24" s="425">
        <f t="shared" si="12"/>
        <v>0</v>
      </c>
      <c r="AO24" s="422">
        <f t="shared" si="13"/>
        <v>0</v>
      </c>
      <c r="AP24" s="426">
        <f t="shared" si="29"/>
        <v>0</v>
      </c>
      <c r="AQ24" s="426">
        <f t="shared" si="30"/>
        <v>0</v>
      </c>
      <c r="AR24" s="426">
        <f t="shared" si="31"/>
        <v>0</v>
      </c>
      <c r="AS24" s="426">
        <f t="shared" si="32"/>
        <v>0</v>
      </c>
      <c r="AT24" s="424">
        <f t="shared" si="14"/>
        <v>0</v>
      </c>
      <c r="AU24" s="424">
        <f t="shared" si="15"/>
        <v>0</v>
      </c>
      <c r="AV24" s="402">
        <f>IF(Données!$H$8="x",AW24,AX24)</f>
        <v>4.1166666666666654</v>
      </c>
      <c r="AW24" s="402">
        <f t="shared" si="2"/>
        <v>2.0583333333333327</v>
      </c>
      <c r="AX24" s="402">
        <f>AX23</f>
        <v>4.1166666666666654</v>
      </c>
      <c r="AY24" s="403" t="str">
        <f t="shared" si="17"/>
        <v>Sa</v>
      </c>
      <c r="AZ24" s="423">
        <f>IF((S39="M5.2")*AND(S40&lt;&gt;""),VLOOKUP(S40,Échelle!$BP$5:$BQ$31,2),)</f>
        <v>0</v>
      </c>
      <c r="BA24" s="424" t="s">
        <v>17</v>
      </c>
      <c r="BB24" s="148"/>
    </row>
    <row r="25" spans="2:54" x14ac:dyDescent="0.2">
      <c r="B25" s="403" t="s">
        <v>186</v>
      </c>
      <c r="C25" s="412" t="s">
        <v>428</v>
      </c>
      <c r="D25" s="411"/>
      <c r="E25" s="411"/>
      <c r="F25" s="401"/>
      <c r="G25" s="401"/>
      <c r="H25" s="401"/>
      <c r="I25" s="401"/>
      <c r="J25" s="406"/>
      <c r="K25" s="406"/>
      <c r="L25" s="402">
        <f>(G25-F25)+(I25-H25)+(K25-J25)</f>
        <v>0</v>
      </c>
      <c r="M25" s="402">
        <f t="shared" si="33"/>
        <v>0.95</v>
      </c>
      <c r="N25" s="407">
        <f>IF(Mai!$H$48="x",AV25+Mai!$N$37,AV25)</f>
        <v>11.083333333333329</v>
      </c>
      <c r="O25" s="408" t="str">
        <f t="shared" si="3"/>
        <v>-</v>
      </c>
      <c r="P25" s="409">
        <f t="shared" si="4"/>
        <v>10.133333333333329</v>
      </c>
      <c r="Q25" s="410">
        <f t="shared" si="5"/>
        <v>0</v>
      </c>
      <c r="R25" s="410">
        <f t="shared" si="6"/>
        <v>0</v>
      </c>
      <c r="S25" s="410">
        <f t="shared" si="7"/>
        <v>0</v>
      </c>
      <c r="T25" s="410">
        <f t="shared" si="8"/>
        <v>0</v>
      </c>
      <c r="U25" s="407">
        <f t="shared" si="9"/>
        <v>0</v>
      </c>
      <c r="V25" s="402">
        <f>L25</f>
        <v>0</v>
      </c>
      <c r="W25" s="402">
        <f t="shared" si="10"/>
        <v>0</v>
      </c>
      <c r="X25" s="402">
        <f t="shared" si="11"/>
        <v>0</v>
      </c>
      <c r="Y25" s="401"/>
      <c r="Z25" s="401"/>
      <c r="AA25" s="411"/>
      <c r="AB25" s="420">
        <f t="shared" si="18"/>
        <v>0</v>
      </c>
      <c r="AC25" s="420">
        <f t="shared" si="19"/>
        <v>0</v>
      </c>
      <c r="AD25" s="420">
        <f t="shared" si="20"/>
        <v>0</v>
      </c>
      <c r="AE25" s="420">
        <f t="shared" si="21"/>
        <v>0</v>
      </c>
      <c r="AF25" s="421">
        <f t="shared" si="22"/>
        <v>0</v>
      </c>
      <c r="AG25" s="420">
        <f t="shared" si="23"/>
        <v>0</v>
      </c>
      <c r="AH25" s="421">
        <f t="shared" si="24"/>
        <v>0</v>
      </c>
      <c r="AI25" s="420">
        <f t="shared" si="25"/>
        <v>0</v>
      </c>
      <c r="AJ25" s="422">
        <f>IF((D25&lt;&gt;""),VLOOKUP(D25,Données!$E$36:$H$59,4,FALSE),)</f>
        <v>0</v>
      </c>
      <c r="AK25" s="422">
        <f t="shared" si="26"/>
        <v>0</v>
      </c>
      <c r="AL25" s="423">
        <f t="shared" si="27"/>
        <v>0</v>
      </c>
      <c r="AM25" s="424">
        <f t="shared" si="28"/>
        <v>0</v>
      </c>
      <c r="AN25" s="425">
        <f t="shared" si="12"/>
        <v>0</v>
      </c>
      <c r="AO25" s="422">
        <f t="shared" si="13"/>
        <v>0</v>
      </c>
      <c r="AP25" s="426">
        <f t="shared" si="29"/>
        <v>0</v>
      </c>
      <c r="AQ25" s="426">
        <f t="shared" si="30"/>
        <v>0</v>
      </c>
      <c r="AR25" s="426">
        <f t="shared" si="31"/>
        <v>0</v>
      </c>
      <c r="AS25" s="426">
        <f t="shared" si="32"/>
        <v>0</v>
      </c>
      <c r="AT25" s="424">
        <f t="shared" si="14"/>
        <v>0</v>
      </c>
      <c r="AU25" s="424">
        <f t="shared" si="15"/>
        <v>0</v>
      </c>
      <c r="AV25" s="402">
        <f>IF(Données!$H$8="x",AW25,AX25)</f>
        <v>4.1166666666666654</v>
      </c>
      <c r="AW25" s="402">
        <f t="shared" si="2"/>
        <v>2.0583333333333327</v>
      </c>
      <c r="AX25" s="402">
        <f>AX24</f>
        <v>4.1166666666666654</v>
      </c>
      <c r="AY25" s="403" t="str">
        <f t="shared" si="17"/>
        <v>Di</v>
      </c>
      <c r="AZ25" s="423">
        <f>IF((S39="M6")*AND(S40&lt;&gt;""),VLOOKUP(S40,Échelle!$BS$5:$BT$31,2),)</f>
        <v>0</v>
      </c>
      <c r="BA25" s="424" t="s">
        <v>18</v>
      </c>
      <c r="BB25" s="148"/>
    </row>
    <row r="26" spans="2:54" x14ac:dyDescent="0.2">
      <c r="B26" s="467" t="s">
        <v>188</v>
      </c>
      <c r="C26" s="468" t="s">
        <v>429</v>
      </c>
      <c r="D26" s="469"/>
      <c r="E26" s="469"/>
      <c r="F26" s="470"/>
      <c r="G26" s="470"/>
      <c r="H26" s="470"/>
      <c r="I26" s="470"/>
      <c r="J26" s="487"/>
      <c r="K26" s="487"/>
      <c r="L26" s="471">
        <f t="shared" si="0"/>
        <v>0</v>
      </c>
      <c r="M26" s="471">
        <f t="shared" si="33"/>
        <v>0.95</v>
      </c>
      <c r="N26" s="488">
        <f>IF(Mai!$H$48="x",AV26+Mai!$N$37,AV26)</f>
        <v>11.399999999999995</v>
      </c>
      <c r="O26" s="483" t="str">
        <f t="shared" si="3"/>
        <v>-</v>
      </c>
      <c r="P26" s="489">
        <f t="shared" si="4"/>
        <v>10.449999999999996</v>
      </c>
      <c r="Q26" s="474">
        <f t="shared" si="5"/>
        <v>0</v>
      </c>
      <c r="R26" s="474">
        <f t="shared" si="6"/>
        <v>0</v>
      </c>
      <c r="S26" s="474">
        <f t="shared" si="7"/>
        <v>0</v>
      </c>
      <c r="T26" s="474">
        <f t="shared" si="8"/>
        <v>0</v>
      </c>
      <c r="U26" s="488">
        <f t="shared" si="9"/>
        <v>0</v>
      </c>
      <c r="V26" s="471">
        <f t="shared" ref="V26:V36" si="38">IF(D26="F",L26,0)</f>
        <v>0</v>
      </c>
      <c r="W26" s="471">
        <f t="shared" si="10"/>
        <v>0</v>
      </c>
      <c r="X26" s="471">
        <f t="shared" si="11"/>
        <v>0</v>
      </c>
      <c r="Y26" s="470"/>
      <c r="Z26" s="470"/>
      <c r="AA26" s="469"/>
      <c r="AB26" s="475">
        <f t="shared" si="18"/>
        <v>0</v>
      </c>
      <c r="AC26" s="475">
        <f t="shared" si="19"/>
        <v>0</v>
      </c>
      <c r="AD26" s="475">
        <f t="shared" si="20"/>
        <v>0</v>
      </c>
      <c r="AE26" s="475">
        <f t="shared" si="21"/>
        <v>0</v>
      </c>
      <c r="AF26" s="476">
        <f t="shared" si="22"/>
        <v>0</v>
      </c>
      <c r="AG26" s="475">
        <f t="shared" si="23"/>
        <v>0</v>
      </c>
      <c r="AH26" s="476">
        <f t="shared" si="24"/>
        <v>0</v>
      </c>
      <c r="AI26" s="475">
        <f t="shared" si="25"/>
        <v>0</v>
      </c>
      <c r="AJ26" s="477">
        <f>IF((D26&lt;&gt;""),VLOOKUP(D26,Données!$E$36:$H$59,4,FALSE),)</f>
        <v>0</v>
      </c>
      <c r="AK26" s="477">
        <f t="shared" si="26"/>
        <v>0</v>
      </c>
      <c r="AL26" s="478">
        <f t="shared" si="27"/>
        <v>0</v>
      </c>
      <c r="AM26" s="479">
        <f t="shared" si="28"/>
        <v>0</v>
      </c>
      <c r="AN26" s="480">
        <f t="shared" si="12"/>
        <v>0</v>
      </c>
      <c r="AO26" s="477">
        <f t="shared" si="13"/>
        <v>0</v>
      </c>
      <c r="AP26" s="481">
        <f t="shared" si="29"/>
        <v>0</v>
      </c>
      <c r="AQ26" s="481">
        <f t="shared" si="30"/>
        <v>0</v>
      </c>
      <c r="AR26" s="481">
        <f t="shared" si="31"/>
        <v>0</v>
      </c>
      <c r="AS26" s="481">
        <f t="shared" si="32"/>
        <v>0</v>
      </c>
      <c r="AT26" s="479">
        <f t="shared" si="14"/>
        <v>0</v>
      </c>
      <c r="AU26" s="479">
        <f t="shared" si="15"/>
        <v>0</v>
      </c>
      <c r="AV26" s="471">
        <f>IF(Données!$H$8="x",AW26,AX26)</f>
        <v>4.4333333333333318</v>
      </c>
      <c r="AW26" s="471">
        <f t="shared" si="2"/>
        <v>2.2166666666666659</v>
      </c>
      <c r="AX26" s="471">
        <f t="shared" ref="AX26:AX36" si="39">IF(D26="L",AX25,(AX25+"07:36"))</f>
        <v>4.4333333333333318</v>
      </c>
      <c r="AY26" s="467" t="str">
        <f t="shared" si="17"/>
        <v>Lu</v>
      </c>
      <c r="AZ26" s="478">
        <f>IF((S39="M7")*AND(S40&lt;&gt;""),VLOOKUP(S40,Échelle!$BV$5:$BW$31,2),)</f>
        <v>0</v>
      </c>
      <c r="BA26" s="479" t="s">
        <v>19</v>
      </c>
      <c r="BB26" s="148"/>
    </row>
    <row r="27" spans="2:54" x14ac:dyDescent="0.2">
      <c r="B27" s="467" t="s">
        <v>176</v>
      </c>
      <c r="C27" s="468" t="s">
        <v>430</v>
      </c>
      <c r="D27" s="469"/>
      <c r="E27" s="469"/>
      <c r="F27" s="470"/>
      <c r="G27" s="470"/>
      <c r="H27" s="470"/>
      <c r="I27" s="470"/>
      <c r="J27" s="487"/>
      <c r="K27" s="487"/>
      <c r="L27" s="471">
        <f t="shared" si="0"/>
        <v>0</v>
      </c>
      <c r="M27" s="471">
        <f t="shared" si="33"/>
        <v>0.95</v>
      </c>
      <c r="N27" s="488">
        <f>IF(Mai!$H$48="x",AV27+Mai!$N$37,AV27)</f>
        <v>11.716666666666661</v>
      </c>
      <c r="O27" s="483" t="str">
        <f t="shared" si="3"/>
        <v>-</v>
      </c>
      <c r="P27" s="489">
        <f t="shared" si="4"/>
        <v>10.766666666666662</v>
      </c>
      <c r="Q27" s="474">
        <f t="shared" si="5"/>
        <v>0</v>
      </c>
      <c r="R27" s="474">
        <f t="shared" si="6"/>
        <v>0</v>
      </c>
      <c r="S27" s="474">
        <f t="shared" si="7"/>
        <v>0</v>
      </c>
      <c r="T27" s="474">
        <f t="shared" si="8"/>
        <v>0</v>
      </c>
      <c r="U27" s="488">
        <f t="shared" si="9"/>
        <v>0</v>
      </c>
      <c r="V27" s="471">
        <f t="shared" si="38"/>
        <v>0</v>
      </c>
      <c r="W27" s="471">
        <f t="shared" si="10"/>
        <v>0</v>
      </c>
      <c r="X27" s="471">
        <f t="shared" si="11"/>
        <v>0</v>
      </c>
      <c r="Y27" s="470"/>
      <c r="Z27" s="470"/>
      <c r="AA27" s="469"/>
      <c r="AB27" s="475">
        <f t="shared" si="18"/>
        <v>0</v>
      </c>
      <c r="AC27" s="475">
        <f t="shared" si="19"/>
        <v>0</v>
      </c>
      <c r="AD27" s="475">
        <f t="shared" si="20"/>
        <v>0</v>
      </c>
      <c r="AE27" s="475">
        <f t="shared" si="21"/>
        <v>0</v>
      </c>
      <c r="AF27" s="476">
        <f t="shared" si="22"/>
        <v>0</v>
      </c>
      <c r="AG27" s="475">
        <f t="shared" si="23"/>
        <v>0</v>
      </c>
      <c r="AH27" s="476">
        <f t="shared" si="24"/>
        <v>0</v>
      </c>
      <c r="AI27" s="475">
        <f t="shared" si="25"/>
        <v>0</v>
      </c>
      <c r="AJ27" s="477">
        <f>IF((D27&lt;&gt;""),VLOOKUP(D27,Données!$E$36:$H$59,4,FALSE),)</f>
        <v>0</v>
      </c>
      <c r="AK27" s="477">
        <f t="shared" si="26"/>
        <v>0</v>
      </c>
      <c r="AL27" s="478">
        <f t="shared" si="27"/>
        <v>0</v>
      </c>
      <c r="AM27" s="479">
        <f t="shared" si="28"/>
        <v>0</v>
      </c>
      <c r="AN27" s="480">
        <f t="shared" si="12"/>
        <v>0</v>
      </c>
      <c r="AO27" s="477">
        <f t="shared" si="13"/>
        <v>0</v>
      </c>
      <c r="AP27" s="481">
        <f t="shared" si="29"/>
        <v>0</v>
      </c>
      <c r="AQ27" s="481">
        <f t="shared" si="30"/>
        <v>0</v>
      </c>
      <c r="AR27" s="481">
        <f t="shared" si="31"/>
        <v>0</v>
      </c>
      <c r="AS27" s="481">
        <f t="shared" si="32"/>
        <v>0</v>
      </c>
      <c r="AT27" s="479">
        <f t="shared" si="14"/>
        <v>0</v>
      </c>
      <c r="AU27" s="479">
        <f t="shared" si="15"/>
        <v>0</v>
      </c>
      <c r="AV27" s="471">
        <f>IF(Données!$H$8="x",AW27,AX27)</f>
        <v>4.7499999999999982</v>
      </c>
      <c r="AW27" s="471">
        <f t="shared" si="2"/>
        <v>2.3749999999999991</v>
      </c>
      <c r="AX27" s="471">
        <f t="shared" si="39"/>
        <v>4.7499999999999982</v>
      </c>
      <c r="AY27" s="467" t="str">
        <f t="shared" si="17"/>
        <v>Ma</v>
      </c>
      <c r="AZ27" s="478">
        <f>IF((S39="M7bis")*AND(S40&lt;&gt;""),VLOOKUP(S40,Échelle!$BY$5:$BZ$31,2),)</f>
        <v>0</v>
      </c>
      <c r="BA27" s="479" t="s">
        <v>20</v>
      </c>
      <c r="BB27" s="148"/>
    </row>
    <row r="28" spans="2:54" x14ac:dyDescent="0.2">
      <c r="B28" s="467" t="s">
        <v>178</v>
      </c>
      <c r="C28" s="468" t="s">
        <v>431</v>
      </c>
      <c r="D28" s="469"/>
      <c r="E28" s="469"/>
      <c r="F28" s="470"/>
      <c r="G28" s="470"/>
      <c r="H28" s="470"/>
      <c r="I28" s="470"/>
      <c r="J28" s="487"/>
      <c r="K28" s="487"/>
      <c r="L28" s="471">
        <f t="shared" si="0"/>
        <v>0</v>
      </c>
      <c r="M28" s="471">
        <f t="shared" si="33"/>
        <v>0.95</v>
      </c>
      <c r="N28" s="488">
        <f>IF(Mai!$H$48="x",AV28+Mai!$N$37,AV28)</f>
        <v>12.033333333333328</v>
      </c>
      <c r="O28" s="483" t="str">
        <f t="shared" si="3"/>
        <v>-</v>
      </c>
      <c r="P28" s="489">
        <f t="shared" si="4"/>
        <v>11.083333333333329</v>
      </c>
      <c r="Q28" s="474">
        <f t="shared" si="5"/>
        <v>0</v>
      </c>
      <c r="R28" s="474">
        <f t="shared" si="6"/>
        <v>0</v>
      </c>
      <c r="S28" s="474">
        <f t="shared" si="7"/>
        <v>0</v>
      </c>
      <c r="T28" s="474">
        <f t="shared" si="8"/>
        <v>0</v>
      </c>
      <c r="U28" s="488">
        <f t="shared" si="9"/>
        <v>0</v>
      </c>
      <c r="V28" s="471">
        <f t="shared" si="38"/>
        <v>0</v>
      </c>
      <c r="W28" s="471">
        <f t="shared" si="10"/>
        <v>0</v>
      </c>
      <c r="X28" s="471">
        <f t="shared" si="11"/>
        <v>0</v>
      </c>
      <c r="Y28" s="470"/>
      <c r="Z28" s="470"/>
      <c r="AA28" s="469"/>
      <c r="AB28" s="475">
        <f t="shared" si="18"/>
        <v>0</v>
      </c>
      <c r="AC28" s="475">
        <f t="shared" si="19"/>
        <v>0</v>
      </c>
      <c r="AD28" s="475">
        <f t="shared" si="20"/>
        <v>0</v>
      </c>
      <c r="AE28" s="475">
        <f t="shared" si="21"/>
        <v>0</v>
      </c>
      <c r="AF28" s="476">
        <f t="shared" si="22"/>
        <v>0</v>
      </c>
      <c r="AG28" s="475">
        <f t="shared" si="23"/>
        <v>0</v>
      </c>
      <c r="AH28" s="476">
        <f t="shared" si="24"/>
        <v>0</v>
      </c>
      <c r="AI28" s="475">
        <f t="shared" si="25"/>
        <v>0</v>
      </c>
      <c r="AJ28" s="477">
        <f>IF((D28&lt;&gt;""),VLOOKUP(D28,Données!$E$36:$H$59,4,FALSE),)</f>
        <v>0</v>
      </c>
      <c r="AK28" s="477">
        <f t="shared" si="26"/>
        <v>0</v>
      </c>
      <c r="AL28" s="478">
        <f t="shared" si="27"/>
        <v>0</v>
      </c>
      <c r="AM28" s="479">
        <f t="shared" si="28"/>
        <v>0</v>
      </c>
      <c r="AN28" s="480">
        <f t="shared" si="12"/>
        <v>0</v>
      </c>
      <c r="AO28" s="477">
        <f t="shared" si="13"/>
        <v>0</v>
      </c>
      <c r="AP28" s="481">
        <f t="shared" si="29"/>
        <v>0</v>
      </c>
      <c r="AQ28" s="481">
        <f t="shared" si="30"/>
        <v>0</v>
      </c>
      <c r="AR28" s="481">
        <f t="shared" si="31"/>
        <v>0</v>
      </c>
      <c r="AS28" s="481">
        <f t="shared" si="32"/>
        <v>0</v>
      </c>
      <c r="AT28" s="479">
        <f t="shared" si="14"/>
        <v>0</v>
      </c>
      <c r="AU28" s="479">
        <f t="shared" si="15"/>
        <v>0</v>
      </c>
      <c r="AV28" s="471">
        <f>IF(Données!$H$8="x",AW28,AX28)</f>
        <v>5.0666666666666647</v>
      </c>
      <c r="AW28" s="471">
        <f t="shared" si="2"/>
        <v>2.5333333333333323</v>
      </c>
      <c r="AX28" s="471">
        <f t="shared" si="39"/>
        <v>5.0666666666666647</v>
      </c>
      <c r="AY28" s="467" t="str">
        <f t="shared" si="17"/>
        <v>Me</v>
      </c>
      <c r="AZ28" s="478">
        <f>IF((S39="O1")*AND(S40&lt;&gt;""),VLOOKUP(S40,Échelle!$Q$39:$R$65,2),)</f>
        <v>0</v>
      </c>
      <c r="BA28" s="479" t="s">
        <v>22</v>
      </c>
      <c r="BB28" s="148"/>
    </row>
    <row r="29" spans="2:54" x14ac:dyDescent="0.2">
      <c r="B29" s="467" t="s">
        <v>180</v>
      </c>
      <c r="C29" s="468" t="s">
        <v>432</v>
      </c>
      <c r="D29" s="469"/>
      <c r="E29" s="469"/>
      <c r="F29" s="470"/>
      <c r="G29" s="470"/>
      <c r="H29" s="470"/>
      <c r="I29" s="470"/>
      <c r="J29" s="487"/>
      <c r="K29" s="487"/>
      <c r="L29" s="471">
        <f t="shared" si="0"/>
        <v>0</v>
      </c>
      <c r="M29" s="471">
        <f t="shared" si="33"/>
        <v>0.95</v>
      </c>
      <c r="N29" s="488">
        <f>IF(Mai!$H$48="x",AV29+Mai!$N$37,AV29)</f>
        <v>12.349999999999994</v>
      </c>
      <c r="O29" s="483" t="str">
        <f t="shared" si="3"/>
        <v>-</v>
      </c>
      <c r="P29" s="489">
        <f t="shared" si="4"/>
        <v>11.399999999999995</v>
      </c>
      <c r="Q29" s="474">
        <f t="shared" si="5"/>
        <v>0</v>
      </c>
      <c r="R29" s="474">
        <f t="shared" si="6"/>
        <v>0</v>
      </c>
      <c r="S29" s="474">
        <f t="shared" si="7"/>
        <v>0</v>
      </c>
      <c r="T29" s="474">
        <f t="shared" si="8"/>
        <v>0</v>
      </c>
      <c r="U29" s="488">
        <f t="shared" si="9"/>
        <v>0</v>
      </c>
      <c r="V29" s="471">
        <f t="shared" si="38"/>
        <v>0</v>
      </c>
      <c r="W29" s="471">
        <f t="shared" si="10"/>
        <v>0</v>
      </c>
      <c r="X29" s="471">
        <f t="shared" si="11"/>
        <v>0</v>
      </c>
      <c r="Y29" s="470"/>
      <c r="Z29" s="470"/>
      <c r="AA29" s="469"/>
      <c r="AB29" s="475">
        <f t="shared" si="18"/>
        <v>0</v>
      </c>
      <c r="AC29" s="475">
        <f t="shared" si="19"/>
        <v>0</v>
      </c>
      <c r="AD29" s="475">
        <f t="shared" si="20"/>
        <v>0</v>
      </c>
      <c r="AE29" s="475">
        <f t="shared" si="21"/>
        <v>0</v>
      </c>
      <c r="AF29" s="476">
        <f t="shared" si="22"/>
        <v>0</v>
      </c>
      <c r="AG29" s="475">
        <f t="shared" si="23"/>
        <v>0</v>
      </c>
      <c r="AH29" s="476">
        <f t="shared" si="24"/>
        <v>0</v>
      </c>
      <c r="AI29" s="475">
        <f t="shared" si="25"/>
        <v>0</v>
      </c>
      <c r="AJ29" s="477">
        <f>IF((D29&lt;&gt;""),VLOOKUP(D29,Données!$E$36:$H$59,4,FALSE),)</f>
        <v>0</v>
      </c>
      <c r="AK29" s="477">
        <f t="shared" si="26"/>
        <v>0</v>
      </c>
      <c r="AL29" s="478">
        <f t="shared" si="27"/>
        <v>0</v>
      </c>
      <c r="AM29" s="479">
        <f t="shared" si="28"/>
        <v>0</v>
      </c>
      <c r="AN29" s="480">
        <f t="shared" si="12"/>
        <v>0</v>
      </c>
      <c r="AO29" s="477">
        <f t="shared" si="13"/>
        <v>0</v>
      </c>
      <c r="AP29" s="481">
        <f t="shared" si="29"/>
        <v>0</v>
      </c>
      <c r="AQ29" s="481">
        <f t="shared" si="30"/>
        <v>0</v>
      </c>
      <c r="AR29" s="481">
        <f t="shared" si="31"/>
        <v>0</v>
      </c>
      <c r="AS29" s="481">
        <f t="shared" si="32"/>
        <v>0</v>
      </c>
      <c r="AT29" s="479">
        <f t="shared" si="14"/>
        <v>0</v>
      </c>
      <c r="AU29" s="479">
        <f t="shared" si="15"/>
        <v>0</v>
      </c>
      <c r="AV29" s="471">
        <f>IF(Données!$H$8="x",AW29,AX29)</f>
        <v>5.3833333333333311</v>
      </c>
      <c r="AW29" s="471">
        <f t="shared" si="2"/>
        <v>2.6916666666666655</v>
      </c>
      <c r="AX29" s="471">
        <f t="shared" si="39"/>
        <v>5.3833333333333311</v>
      </c>
      <c r="AY29" s="467" t="str">
        <f t="shared" si="17"/>
        <v>Je</v>
      </c>
      <c r="AZ29" s="478">
        <f>IF((S39="O2")*AND(S40&lt;&gt;""),VLOOKUP(S40,Échelle!$T$39:$U$65,2),)</f>
        <v>0</v>
      </c>
      <c r="BA29" s="479" t="s">
        <v>23</v>
      </c>
      <c r="BB29" s="148"/>
    </row>
    <row r="30" spans="2:54" x14ac:dyDescent="0.2">
      <c r="B30" s="467" t="s">
        <v>182</v>
      </c>
      <c r="C30" s="468" t="s">
        <v>433</v>
      </c>
      <c r="D30" s="469"/>
      <c r="E30" s="469"/>
      <c r="F30" s="470"/>
      <c r="G30" s="470"/>
      <c r="H30" s="470"/>
      <c r="I30" s="470"/>
      <c r="J30" s="487"/>
      <c r="K30" s="487"/>
      <c r="L30" s="471">
        <f t="shared" si="0"/>
        <v>0</v>
      </c>
      <c r="M30" s="471">
        <f>M29+L30</f>
        <v>0.95</v>
      </c>
      <c r="N30" s="488">
        <f>IF(Mai!$H$48="x",AV30+Mai!$N$37,AV30)</f>
        <v>12.666666666666661</v>
      </c>
      <c r="O30" s="483" t="str">
        <f t="shared" si="3"/>
        <v>-</v>
      </c>
      <c r="P30" s="489">
        <f t="shared" si="4"/>
        <v>11.716666666666661</v>
      </c>
      <c r="Q30" s="474">
        <f t="shared" si="5"/>
        <v>0</v>
      </c>
      <c r="R30" s="474">
        <f t="shared" si="6"/>
        <v>0</v>
      </c>
      <c r="S30" s="474">
        <f t="shared" si="7"/>
        <v>0</v>
      </c>
      <c r="T30" s="474">
        <f t="shared" si="8"/>
        <v>0</v>
      </c>
      <c r="U30" s="488">
        <f t="shared" si="9"/>
        <v>0</v>
      </c>
      <c r="V30" s="471">
        <f t="shared" si="38"/>
        <v>0</v>
      </c>
      <c r="W30" s="471">
        <f t="shared" si="10"/>
        <v>0</v>
      </c>
      <c r="X30" s="471">
        <f t="shared" si="11"/>
        <v>0</v>
      </c>
      <c r="Y30" s="470"/>
      <c r="Z30" s="470"/>
      <c r="AA30" s="469"/>
      <c r="AB30" s="475">
        <f t="shared" si="18"/>
        <v>0</v>
      </c>
      <c r="AC30" s="475">
        <f t="shared" si="19"/>
        <v>0</v>
      </c>
      <c r="AD30" s="475">
        <f t="shared" si="20"/>
        <v>0</v>
      </c>
      <c r="AE30" s="475">
        <f t="shared" si="21"/>
        <v>0</v>
      </c>
      <c r="AF30" s="476">
        <f t="shared" si="22"/>
        <v>0</v>
      </c>
      <c r="AG30" s="475">
        <f t="shared" si="23"/>
        <v>0</v>
      </c>
      <c r="AH30" s="476">
        <f t="shared" si="24"/>
        <v>0</v>
      </c>
      <c r="AI30" s="475">
        <f t="shared" si="25"/>
        <v>0</v>
      </c>
      <c r="AJ30" s="477">
        <f>IF((D30&lt;&gt;""),VLOOKUP(D30,Données!$E$36:$H$59,4,FALSE),)</f>
        <v>0</v>
      </c>
      <c r="AK30" s="477">
        <f t="shared" si="26"/>
        <v>0</v>
      </c>
      <c r="AL30" s="478">
        <f t="shared" si="27"/>
        <v>0</v>
      </c>
      <c r="AM30" s="479">
        <f t="shared" si="28"/>
        <v>0</v>
      </c>
      <c r="AN30" s="480">
        <f t="shared" si="12"/>
        <v>0</v>
      </c>
      <c r="AO30" s="477">
        <f t="shared" si="13"/>
        <v>0</v>
      </c>
      <c r="AP30" s="481">
        <f t="shared" si="29"/>
        <v>0</v>
      </c>
      <c r="AQ30" s="481">
        <f t="shared" si="30"/>
        <v>0</v>
      </c>
      <c r="AR30" s="481">
        <f t="shared" si="31"/>
        <v>0</v>
      </c>
      <c r="AS30" s="481">
        <f t="shared" si="32"/>
        <v>0</v>
      </c>
      <c r="AT30" s="479">
        <f t="shared" si="14"/>
        <v>0</v>
      </c>
      <c r="AU30" s="479">
        <f t="shared" si="15"/>
        <v>0</v>
      </c>
      <c r="AV30" s="471">
        <f>IF(Données!$H$8="x",AW30,AX30)</f>
        <v>5.6999999999999975</v>
      </c>
      <c r="AW30" s="471">
        <f t="shared" si="2"/>
        <v>2.8499999999999988</v>
      </c>
      <c r="AX30" s="471">
        <f t="shared" si="39"/>
        <v>5.6999999999999975</v>
      </c>
      <c r="AY30" s="467" t="str">
        <f t="shared" si="17"/>
        <v>Ve</v>
      </c>
      <c r="AZ30" s="478">
        <f>IF((S39="O2ir")*AND(S40&lt;&gt;""),VLOOKUP(S40,Échelle!$AR$39:$AS$65,2),)</f>
        <v>0</v>
      </c>
      <c r="BA30" s="479" t="s">
        <v>31</v>
      </c>
      <c r="BB30" s="148"/>
    </row>
    <row r="31" spans="2:54" x14ac:dyDescent="0.2">
      <c r="B31" s="403" t="s">
        <v>184</v>
      </c>
      <c r="C31" s="412" t="s">
        <v>434</v>
      </c>
      <c r="D31" s="411"/>
      <c r="E31" s="411"/>
      <c r="F31" s="401"/>
      <c r="G31" s="401"/>
      <c r="H31" s="401"/>
      <c r="I31" s="401"/>
      <c r="J31" s="406"/>
      <c r="K31" s="406"/>
      <c r="L31" s="402">
        <f>(G31-F31)+(I31-H31)+(K31-J31)</f>
        <v>0</v>
      </c>
      <c r="M31" s="402">
        <f>M30+L31</f>
        <v>0.95</v>
      </c>
      <c r="N31" s="407">
        <f>IF(Mai!$H$48="x",AV31+Mai!$N$37,AV31)</f>
        <v>12.666666666666661</v>
      </c>
      <c r="O31" s="408" t="str">
        <f t="shared" si="3"/>
        <v>-</v>
      </c>
      <c r="P31" s="409">
        <f t="shared" si="4"/>
        <v>11.716666666666661</v>
      </c>
      <c r="Q31" s="410">
        <f t="shared" si="5"/>
        <v>0</v>
      </c>
      <c r="R31" s="410">
        <f t="shared" si="6"/>
        <v>0</v>
      </c>
      <c r="S31" s="410">
        <f t="shared" si="7"/>
        <v>0</v>
      </c>
      <c r="T31" s="410">
        <f t="shared" si="8"/>
        <v>0</v>
      </c>
      <c r="U31" s="407">
        <f t="shared" si="9"/>
        <v>0</v>
      </c>
      <c r="V31" s="402">
        <f>L31</f>
        <v>0</v>
      </c>
      <c r="W31" s="402">
        <f t="shared" si="10"/>
        <v>0</v>
      </c>
      <c r="X31" s="402">
        <f t="shared" si="11"/>
        <v>0</v>
      </c>
      <c r="Y31" s="401"/>
      <c r="Z31" s="401"/>
      <c r="AA31" s="411"/>
      <c r="AB31" s="420">
        <f t="shared" si="18"/>
        <v>0</v>
      </c>
      <c r="AC31" s="420">
        <f t="shared" si="19"/>
        <v>0</v>
      </c>
      <c r="AD31" s="420">
        <f t="shared" si="20"/>
        <v>0</v>
      </c>
      <c r="AE31" s="420">
        <f t="shared" si="21"/>
        <v>0</v>
      </c>
      <c r="AF31" s="421">
        <f t="shared" si="22"/>
        <v>0</v>
      </c>
      <c r="AG31" s="420">
        <f t="shared" si="23"/>
        <v>0</v>
      </c>
      <c r="AH31" s="421">
        <f t="shared" si="24"/>
        <v>0</v>
      </c>
      <c r="AI31" s="420">
        <f t="shared" si="25"/>
        <v>0</v>
      </c>
      <c r="AJ31" s="422">
        <f>IF((D31&lt;&gt;""),VLOOKUP(D31,Données!$E$36:$H$59,4,FALSE),)</f>
        <v>0</v>
      </c>
      <c r="AK31" s="422">
        <f t="shared" si="26"/>
        <v>0</v>
      </c>
      <c r="AL31" s="423">
        <f t="shared" si="27"/>
        <v>0</v>
      </c>
      <c r="AM31" s="424">
        <f t="shared" si="28"/>
        <v>0</v>
      </c>
      <c r="AN31" s="425">
        <f t="shared" si="12"/>
        <v>0</v>
      </c>
      <c r="AO31" s="422">
        <f t="shared" si="13"/>
        <v>0</v>
      </c>
      <c r="AP31" s="426">
        <f t="shared" si="29"/>
        <v>0</v>
      </c>
      <c r="AQ31" s="426">
        <f t="shared" si="30"/>
        <v>0</v>
      </c>
      <c r="AR31" s="426">
        <f t="shared" si="31"/>
        <v>0</v>
      </c>
      <c r="AS31" s="426">
        <f t="shared" si="32"/>
        <v>0</v>
      </c>
      <c r="AT31" s="424">
        <f t="shared" si="14"/>
        <v>0</v>
      </c>
      <c r="AU31" s="424">
        <f t="shared" si="15"/>
        <v>0</v>
      </c>
      <c r="AV31" s="402">
        <f>IF(Données!$H$8="x",AW31,AX31)</f>
        <v>5.6999999999999975</v>
      </c>
      <c r="AW31" s="402">
        <f t="shared" si="2"/>
        <v>2.8499999999999988</v>
      </c>
      <c r="AX31" s="402">
        <f>AX30</f>
        <v>5.6999999999999975</v>
      </c>
      <c r="AY31" s="403" t="str">
        <f t="shared" si="17"/>
        <v>Sa</v>
      </c>
      <c r="AZ31" s="423">
        <f>IF((S39="O3")*AND(S40&lt;&gt;""),VLOOKUP(S40,Échelle!$W$39:$X$65,2),)</f>
        <v>0</v>
      </c>
      <c r="BA31" s="424" t="s">
        <v>24</v>
      </c>
      <c r="BB31" s="148"/>
    </row>
    <row r="32" spans="2:54" x14ac:dyDescent="0.2">
      <c r="B32" s="403" t="s">
        <v>186</v>
      </c>
      <c r="C32" s="412" t="s">
        <v>435</v>
      </c>
      <c r="D32" s="411"/>
      <c r="E32" s="411"/>
      <c r="F32" s="401"/>
      <c r="G32" s="401"/>
      <c r="H32" s="401"/>
      <c r="I32" s="401"/>
      <c r="J32" s="406"/>
      <c r="K32" s="406"/>
      <c r="L32" s="402">
        <f>(G32-F32)+(I32-H32)+(K32-J32)</f>
        <v>0</v>
      </c>
      <c r="M32" s="402">
        <f t="shared" si="33"/>
        <v>0.95</v>
      </c>
      <c r="N32" s="407">
        <f>IF(Mai!$H$48="x",AV32+Mai!$N$37,AV32)</f>
        <v>12.666666666666661</v>
      </c>
      <c r="O32" s="408" t="str">
        <f t="shared" si="3"/>
        <v>-</v>
      </c>
      <c r="P32" s="409">
        <f t="shared" si="4"/>
        <v>11.716666666666661</v>
      </c>
      <c r="Q32" s="410">
        <f t="shared" si="5"/>
        <v>0</v>
      </c>
      <c r="R32" s="410">
        <f t="shared" si="6"/>
        <v>0</v>
      </c>
      <c r="S32" s="410">
        <f t="shared" si="7"/>
        <v>0</v>
      </c>
      <c r="T32" s="410">
        <f t="shared" si="8"/>
        <v>0</v>
      </c>
      <c r="U32" s="407">
        <f t="shared" si="9"/>
        <v>0</v>
      </c>
      <c r="V32" s="402">
        <f>L32</f>
        <v>0</v>
      </c>
      <c r="W32" s="402">
        <f t="shared" si="10"/>
        <v>0</v>
      </c>
      <c r="X32" s="402">
        <f t="shared" si="11"/>
        <v>0</v>
      </c>
      <c r="Y32" s="401"/>
      <c r="Z32" s="401"/>
      <c r="AA32" s="411"/>
      <c r="AB32" s="420">
        <f t="shared" si="18"/>
        <v>0</v>
      </c>
      <c r="AC32" s="420">
        <f t="shared" si="19"/>
        <v>0</v>
      </c>
      <c r="AD32" s="420">
        <f t="shared" si="20"/>
        <v>0</v>
      </c>
      <c r="AE32" s="420">
        <f t="shared" si="21"/>
        <v>0</v>
      </c>
      <c r="AF32" s="421">
        <f t="shared" si="22"/>
        <v>0</v>
      </c>
      <c r="AG32" s="420">
        <f t="shared" si="23"/>
        <v>0</v>
      </c>
      <c r="AH32" s="421">
        <f t="shared" si="24"/>
        <v>0</v>
      </c>
      <c r="AI32" s="420">
        <f t="shared" si="25"/>
        <v>0</v>
      </c>
      <c r="AJ32" s="422">
        <f>IF((D32&lt;&gt;""),VLOOKUP(D32,Données!$E$36:$H$59,4,FALSE),)</f>
        <v>0</v>
      </c>
      <c r="AK32" s="422">
        <f t="shared" si="26"/>
        <v>0</v>
      </c>
      <c r="AL32" s="423">
        <f t="shared" si="27"/>
        <v>0</v>
      </c>
      <c r="AM32" s="424">
        <f t="shared" si="28"/>
        <v>0</v>
      </c>
      <c r="AN32" s="425">
        <f t="shared" si="12"/>
        <v>0</v>
      </c>
      <c r="AO32" s="422">
        <f t="shared" si="13"/>
        <v>0</v>
      </c>
      <c r="AP32" s="426">
        <f t="shared" si="29"/>
        <v>0</v>
      </c>
      <c r="AQ32" s="426">
        <f t="shared" si="30"/>
        <v>0</v>
      </c>
      <c r="AR32" s="426">
        <f t="shared" si="31"/>
        <v>0</v>
      </c>
      <c r="AS32" s="426">
        <f t="shared" si="32"/>
        <v>0</v>
      </c>
      <c r="AT32" s="424">
        <f t="shared" si="14"/>
        <v>0</v>
      </c>
      <c r="AU32" s="424">
        <f t="shared" si="15"/>
        <v>0</v>
      </c>
      <c r="AV32" s="402">
        <f>IF(Données!$H$8="x",AW32,AX32)</f>
        <v>5.6999999999999975</v>
      </c>
      <c r="AW32" s="402">
        <f t="shared" si="2"/>
        <v>2.8499999999999988</v>
      </c>
      <c r="AX32" s="402">
        <f>AX31</f>
        <v>5.6999999999999975</v>
      </c>
      <c r="AY32" s="403" t="str">
        <f t="shared" si="17"/>
        <v>Di</v>
      </c>
      <c r="AZ32" s="423">
        <f>IF((S39="O3ir")*AND(S40&lt;&gt;""),VLOOKUP(S40,Échelle!$AU$39:$AV$65,2),)</f>
        <v>0</v>
      </c>
      <c r="BA32" s="424" t="s">
        <v>32</v>
      </c>
      <c r="BB32" s="148"/>
    </row>
    <row r="33" spans="2:54" x14ac:dyDescent="0.2">
      <c r="B33" s="467" t="s">
        <v>188</v>
      </c>
      <c r="C33" s="468" t="s">
        <v>436</v>
      </c>
      <c r="D33" s="469"/>
      <c r="E33" s="469"/>
      <c r="F33" s="470"/>
      <c r="G33" s="470"/>
      <c r="H33" s="470"/>
      <c r="I33" s="470"/>
      <c r="J33" s="487"/>
      <c r="K33" s="487"/>
      <c r="L33" s="471">
        <f t="shared" si="0"/>
        <v>0</v>
      </c>
      <c r="M33" s="471">
        <f t="shared" si="33"/>
        <v>0.95</v>
      </c>
      <c r="N33" s="488">
        <f>IF(Mai!$H$48="x",AV33+Mai!$N$37,AV33)</f>
        <v>12.983333333333327</v>
      </c>
      <c r="O33" s="483" t="str">
        <f t="shared" si="3"/>
        <v>-</v>
      </c>
      <c r="P33" s="489">
        <f t="shared" si="4"/>
        <v>12.033333333333328</v>
      </c>
      <c r="Q33" s="474">
        <f t="shared" si="5"/>
        <v>0</v>
      </c>
      <c r="R33" s="474">
        <f t="shared" si="6"/>
        <v>0</v>
      </c>
      <c r="S33" s="474">
        <f t="shared" si="7"/>
        <v>0</v>
      </c>
      <c r="T33" s="474">
        <f t="shared" si="8"/>
        <v>0</v>
      </c>
      <c r="U33" s="488">
        <f t="shared" si="9"/>
        <v>0</v>
      </c>
      <c r="V33" s="471">
        <f t="shared" si="38"/>
        <v>0</v>
      </c>
      <c r="W33" s="471">
        <f t="shared" si="10"/>
        <v>0</v>
      </c>
      <c r="X33" s="471">
        <f t="shared" si="11"/>
        <v>0</v>
      </c>
      <c r="Y33" s="470"/>
      <c r="Z33" s="470"/>
      <c r="AA33" s="469"/>
      <c r="AB33" s="475">
        <f t="shared" si="18"/>
        <v>0</v>
      </c>
      <c r="AC33" s="475">
        <f t="shared" si="19"/>
        <v>0</v>
      </c>
      <c r="AD33" s="475">
        <f t="shared" si="20"/>
        <v>0</v>
      </c>
      <c r="AE33" s="475">
        <f t="shared" si="21"/>
        <v>0</v>
      </c>
      <c r="AF33" s="476">
        <f t="shared" si="22"/>
        <v>0</v>
      </c>
      <c r="AG33" s="475">
        <f t="shared" si="23"/>
        <v>0</v>
      </c>
      <c r="AH33" s="476">
        <f t="shared" si="24"/>
        <v>0</v>
      </c>
      <c r="AI33" s="475">
        <f t="shared" si="25"/>
        <v>0</v>
      </c>
      <c r="AJ33" s="477">
        <f>IF((D33&lt;&gt;""),VLOOKUP(D33,Données!$E$36:$H$59,4,FALSE),)</f>
        <v>0</v>
      </c>
      <c r="AK33" s="477">
        <f t="shared" si="26"/>
        <v>0</v>
      </c>
      <c r="AL33" s="478">
        <f t="shared" si="27"/>
        <v>0</v>
      </c>
      <c r="AM33" s="479">
        <f t="shared" si="28"/>
        <v>0</v>
      </c>
      <c r="AN33" s="480">
        <f t="shared" si="12"/>
        <v>0</v>
      </c>
      <c r="AO33" s="477">
        <f t="shared" si="13"/>
        <v>0</v>
      </c>
      <c r="AP33" s="481">
        <f t="shared" si="29"/>
        <v>0</v>
      </c>
      <c r="AQ33" s="481">
        <f t="shared" si="30"/>
        <v>0</v>
      </c>
      <c r="AR33" s="481">
        <f t="shared" si="31"/>
        <v>0</v>
      </c>
      <c r="AS33" s="481">
        <f t="shared" si="32"/>
        <v>0</v>
      </c>
      <c r="AT33" s="479">
        <f t="shared" si="14"/>
        <v>0</v>
      </c>
      <c r="AU33" s="479">
        <f t="shared" si="15"/>
        <v>0</v>
      </c>
      <c r="AV33" s="471">
        <f>IF(Données!$H$8="x",AW33,AX33)</f>
        <v>6.0166666666666639</v>
      </c>
      <c r="AW33" s="471">
        <f t="shared" si="2"/>
        <v>3.008333333333332</v>
      </c>
      <c r="AX33" s="471">
        <f t="shared" si="39"/>
        <v>6.0166666666666639</v>
      </c>
      <c r="AY33" s="467" t="str">
        <f t="shared" si="17"/>
        <v>Lu</v>
      </c>
      <c r="AZ33" s="478">
        <f>IF((S39="O4")*AND(S40&lt;&gt;""),VLOOKUP(S40,Échelle!$Z$39:$AA$65,2),)</f>
        <v>0</v>
      </c>
      <c r="BA33" s="479" t="s">
        <v>25</v>
      </c>
      <c r="BB33" s="148"/>
    </row>
    <row r="34" spans="2:54" x14ac:dyDescent="0.2">
      <c r="B34" s="467" t="s">
        <v>176</v>
      </c>
      <c r="C34" s="468" t="s">
        <v>437</v>
      </c>
      <c r="D34" s="469"/>
      <c r="E34" s="469"/>
      <c r="F34" s="470"/>
      <c r="G34" s="470"/>
      <c r="H34" s="470"/>
      <c r="I34" s="470"/>
      <c r="J34" s="487"/>
      <c r="K34" s="487"/>
      <c r="L34" s="471">
        <f t="shared" si="0"/>
        <v>0</v>
      </c>
      <c r="M34" s="471">
        <f t="shared" si="33"/>
        <v>0.95</v>
      </c>
      <c r="N34" s="488">
        <f>IF(Mai!$H$48="x",AV34+Mai!$N$37,AV34)</f>
        <v>13.299999999999994</v>
      </c>
      <c r="O34" s="483" t="str">
        <f t="shared" si="3"/>
        <v>-</v>
      </c>
      <c r="P34" s="489">
        <f t="shared" si="4"/>
        <v>12.349999999999994</v>
      </c>
      <c r="Q34" s="474">
        <f t="shared" si="5"/>
        <v>0</v>
      </c>
      <c r="R34" s="474">
        <f t="shared" si="6"/>
        <v>0</v>
      </c>
      <c r="S34" s="474">
        <f t="shared" si="7"/>
        <v>0</v>
      </c>
      <c r="T34" s="474">
        <f t="shared" si="8"/>
        <v>0</v>
      </c>
      <c r="U34" s="488">
        <f t="shared" si="9"/>
        <v>0</v>
      </c>
      <c r="V34" s="471">
        <f t="shared" si="38"/>
        <v>0</v>
      </c>
      <c r="W34" s="471">
        <f t="shared" si="10"/>
        <v>0</v>
      </c>
      <c r="X34" s="471">
        <f t="shared" si="11"/>
        <v>0</v>
      </c>
      <c r="Y34" s="470"/>
      <c r="Z34" s="470"/>
      <c r="AA34" s="469"/>
      <c r="AB34" s="475">
        <f t="shared" si="18"/>
        <v>0</v>
      </c>
      <c r="AC34" s="475">
        <f t="shared" si="19"/>
        <v>0</v>
      </c>
      <c r="AD34" s="475">
        <f t="shared" si="20"/>
        <v>0</v>
      </c>
      <c r="AE34" s="475">
        <f t="shared" si="21"/>
        <v>0</v>
      </c>
      <c r="AF34" s="476">
        <f t="shared" si="22"/>
        <v>0</v>
      </c>
      <c r="AG34" s="475">
        <f t="shared" si="23"/>
        <v>0</v>
      </c>
      <c r="AH34" s="476">
        <f t="shared" si="24"/>
        <v>0</v>
      </c>
      <c r="AI34" s="475">
        <f t="shared" si="25"/>
        <v>0</v>
      </c>
      <c r="AJ34" s="477">
        <f>IF((D34&lt;&gt;""),VLOOKUP(D34,Données!$E$36:$H$59,4,FALSE),)</f>
        <v>0</v>
      </c>
      <c r="AK34" s="477">
        <f t="shared" si="26"/>
        <v>0</v>
      </c>
      <c r="AL34" s="478">
        <f t="shared" si="27"/>
        <v>0</v>
      </c>
      <c r="AM34" s="479">
        <f t="shared" si="28"/>
        <v>0</v>
      </c>
      <c r="AN34" s="480">
        <f t="shared" si="12"/>
        <v>0</v>
      </c>
      <c r="AO34" s="477">
        <f t="shared" si="13"/>
        <v>0</v>
      </c>
      <c r="AP34" s="481">
        <f t="shared" si="29"/>
        <v>0</v>
      </c>
      <c r="AQ34" s="481">
        <f t="shared" si="30"/>
        <v>0</v>
      </c>
      <c r="AR34" s="481">
        <f t="shared" si="31"/>
        <v>0</v>
      </c>
      <c r="AS34" s="481">
        <f t="shared" si="32"/>
        <v>0</v>
      </c>
      <c r="AT34" s="479">
        <f t="shared" si="14"/>
        <v>0</v>
      </c>
      <c r="AU34" s="479">
        <f t="shared" si="15"/>
        <v>0</v>
      </c>
      <c r="AV34" s="471">
        <f>IF(Données!$H$8="x",AW34,AX34)</f>
        <v>6.3333333333333304</v>
      </c>
      <c r="AW34" s="471">
        <f t="shared" si="2"/>
        <v>3.1666666666666652</v>
      </c>
      <c r="AX34" s="471">
        <f t="shared" si="39"/>
        <v>6.3333333333333304</v>
      </c>
      <c r="AY34" s="467" t="str">
        <f t="shared" si="17"/>
        <v>Ma</v>
      </c>
      <c r="AZ34" s="478">
        <f>IF((S39="O4bis")*AND(S40&lt;&gt;""),VLOOKUP(S40,Échelle!$BG$39:$BH$65,2),)</f>
        <v>0</v>
      </c>
      <c r="BA34" s="479" t="s">
        <v>36</v>
      </c>
      <c r="BB34" s="148"/>
    </row>
    <row r="35" spans="2:54" x14ac:dyDescent="0.2">
      <c r="B35" s="467" t="s">
        <v>178</v>
      </c>
      <c r="C35" s="468" t="s">
        <v>438</v>
      </c>
      <c r="D35" s="469"/>
      <c r="E35" s="469"/>
      <c r="F35" s="470"/>
      <c r="G35" s="470"/>
      <c r="H35" s="470"/>
      <c r="I35" s="470"/>
      <c r="J35" s="487"/>
      <c r="K35" s="487"/>
      <c r="L35" s="471">
        <f t="shared" si="0"/>
        <v>0</v>
      </c>
      <c r="M35" s="471">
        <f t="shared" si="33"/>
        <v>0.95</v>
      </c>
      <c r="N35" s="488">
        <f>IF(Mai!$H$48="x",AV35+Mai!$N$37,AV35)</f>
        <v>13.61666666666666</v>
      </c>
      <c r="O35" s="483" t="str">
        <f t="shared" si="3"/>
        <v>-</v>
      </c>
      <c r="P35" s="489">
        <f t="shared" si="4"/>
        <v>12.666666666666661</v>
      </c>
      <c r="Q35" s="474">
        <f t="shared" si="5"/>
        <v>0</v>
      </c>
      <c r="R35" s="474">
        <f t="shared" si="6"/>
        <v>0</v>
      </c>
      <c r="S35" s="474">
        <f t="shared" si="7"/>
        <v>0</v>
      </c>
      <c r="T35" s="474">
        <f t="shared" si="8"/>
        <v>0</v>
      </c>
      <c r="U35" s="488">
        <f t="shared" si="9"/>
        <v>0</v>
      </c>
      <c r="V35" s="471">
        <f t="shared" si="38"/>
        <v>0</v>
      </c>
      <c r="W35" s="471">
        <f t="shared" si="10"/>
        <v>0</v>
      </c>
      <c r="X35" s="471">
        <f t="shared" si="11"/>
        <v>0</v>
      </c>
      <c r="Y35" s="470"/>
      <c r="Z35" s="470"/>
      <c r="AA35" s="469"/>
      <c r="AB35" s="475">
        <f t="shared" si="18"/>
        <v>0</v>
      </c>
      <c r="AC35" s="475">
        <f t="shared" si="19"/>
        <v>0</v>
      </c>
      <c r="AD35" s="475">
        <f t="shared" si="20"/>
        <v>0</v>
      </c>
      <c r="AE35" s="475">
        <f t="shared" si="21"/>
        <v>0</v>
      </c>
      <c r="AF35" s="476">
        <f t="shared" si="22"/>
        <v>0</v>
      </c>
      <c r="AG35" s="475">
        <f t="shared" si="23"/>
        <v>0</v>
      </c>
      <c r="AH35" s="476">
        <f t="shared" si="24"/>
        <v>0</v>
      </c>
      <c r="AI35" s="475">
        <f t="shared" si="25"/>
        <v>0</v>
      </c>
      <c r="AJ35" s="477">
        <f>IF((D35&lt;&gt;""),VLOOKUP(D35,Données!$E$36:$H$59,4,FALSE),)</f>
        <v>0</v>
      </c>
      <c r="AK35" s="477">
        <f t="shared" si="26"/>
        <v>0</v>
      </c>
      <c r="AL35" s="478">
        <f t="shared" si="27"/>
        <v>0</v>
      </c>
      <c r="AM35" s="479">
        <f t="shared" si="28"/>
        <v>0</v>
      </c>
      <c r="AN35" s="480">
        <f t="shared" si="12"/>
        <v>0</v>
      </c>
      <c r="AO35" s="477">
        <f t="shared" si="13"/>
        <v>0</v>
      </c>
      <c r="AP35" s="481">
        <f t="shared" si="29"/>
        <v>0</v>
      </c>
      <c r="AQ35" s="481">
        <f t="shared" si="30"/>
        <v>0</v>
      </c>
      <c r="AR35" s="481">
        <f t="shared" si="31"/>
        <v>0</v>
      </c>
      <c r="AS35" s="481">
        <f t="shared" si="32"/>
        <v>0</v>
      </c>
      <c r="AT35" s="479">
        <f t="shared" si="14"/>
        <v>0</v>
      </c>
      <c r="AU35" s="479">
        <f t="shared" si="15"/>
        <v>0</v>
      </c>
      <c r="AV35" s="471">
        <f>IF(Données!$H$8="x",AW35,AX35)</f>
        <v>6.6499999999999968</v>
      </c>
      <c r="AW35" s="471">
        <f t="shared" si="2"/>
        <v>3.3249999999999984</v>
      </c>
      <c r="AX35" s="471">
        <f t="shared" si="39"/>
        <v>6.6499999999999968</v>
      </c>
      <c r="AY35" s="467" t="str">
        <f t="shared" si="17"/>
        <v>Me</v>
      </c>
      <c r="AZ35" s="478">
        <f>IF((S39="O4bis-ir")*AND(S40&lt;&gt;""),VLOOKUP(S40,Échelle!$AO$39:$AP$65,2),)</f>
        <v>0</v>
      </c>
      <c r="BA35" s="479" t="s">
        <v>30</v>
      </c>
      <c r="BB35" s="148"/>
    </row>
    <row r="36" spans="2:54" x14ac:dyDescent="0.2">
      <c r="B36" s="467" t="s">
        <v>180</v>
      </c>
      <c r="C36" s="468" t="s">
        <v>439</v>
      </c>
      <c r="D36" s="469"/>
      <c r="E36" s="469"/>
      <c r="F36" s="470"/>
      <c r="G36" s="470"/>
      <c r="H36" s="470"/>
      <c r="I36" s="470"/>
      <c r="J36" s="487"/>
      <c r="K36" s="487"/>
      <c r="L36" s="471">
        <f t="shared" si="0"/>
        <v>0</v>
      </c>
      <c r="M36" s="471">
        <f t="shared" si="33"/>
        <v>0.95</v>
      </c>
      <c r="N36" s="488">
        <f>IF(Mai!$H$48="x",AV36+Mai!$N$37,AV36)</f>
        <v>13.933333333333326</v>
      </c>
      <c r="O36" s="483" t="str">
        <f t="shared" si="3"/>
        <v>-</v>
      </c>
      <c r="P36" s="489">
        <f t="shared" si="4"/>
        <v>12.983333333333327</v>
      </c>
      <c r="Q36" s="474">
        <f t="shared" si="5"/>
        <v>0</v>
      </c>
      <c r="R36" s="474">
        <f t="shared" si="6"/>
        <v>0</v>
      </c>
      <c r="S36" s="474">
        <f t="shared" si="7"/>
        <v>0</v>
      </c>
      <c r="T36" s="474">
        <f t="shared" si="8"/>
        <v>0</v>
      </c>
      <c r="U36" s="488">
        <f t="shared" si="9"/>
        <v>0</v>
      </c>
      <c r="V36" s="471">
        <f t="shared" si="38"/>
        <v>0</v>
      </c>
      <c r="W36" s="471">
        <f t="shared" si="10"/>
        <v>0</v>
      </c>
      <c r="X36" s="471">
        <f t="shared" si="11"/>
        <v>0</v>
      </c>
      <c r="Y36" s="470"/>
      <c r="Z36" s="470"/>
      <c r="AA36" s="469"/>
      <c r="AB36" s="475">
        <f t="shared" si="18"/>
        <v>0</v>
      </c>
      <c r="AC36" s="475">
        <f t="shared" si="19"/>
        <v>0</v>
      </c>
      <c r="AD36" s="475">
        <f t="shared" si="20"/>
        <v>0</v>
      </c>
      <c r="AE36" s="475">
        <f t="shared" si="21"/>
        <v>0</v>
      </c>
      <c r="AF36" s="476">
        <f t="shared" si="22"/>
        <v>0</v>
      </c>
      <c r="AG36" s="475">
        <f t="shared" si="23"/>
        <v>0</v>
      </c>
      <c r="AH36" s="476">
        <f t="shared" si="24"/>
        <v>0</v>
      </c>
      <c r="AI36" s="475">
        <f t="shared" si="25"/>
        <v>0</v>
      </c>
      <c r="AJ36" s="477">
        <f>IF((D36&lt;&gt;""),VLOOKUP(D36,Données!$E$36:$H$59,4,FALSE),)</f>
        <v>0</v>
      </c>
      <c r="AK36" s="477">
        <f t="shared" si="26"/>
        <v>0</v>
      </c>
      <c r="AL36" s="478">
        <f t="shared" si="27"/>
        <v>0</v>
      </c>
      <c r="AM36" s="479">
        <f t="shared" si="28"/>
        <v>0</v>
      </c>
      <c r="AN36" s="480">
        <f t="shared" si="12"/>
        <v>0</v>
      </c>
      <c r="AO36" s="477">
        <f t="shared" si="13"/>
        <v>0</v>
      </c>
      <c r="AP36" s="481">
        <f t="shared" si="29"/>
        <v>0</v>
      </c>
      <c r="AQ36" s="481">
        <f t="shared" si="30"/>
        <v>0</v>
      </c>
      <c r="AR36" s="481">
        <f t="shared" si="31"/>
        <v>0</v>
      </c>
      <c r="AS36" s="481">
        <f t="shared" si="32"/>
        <v>0</v>
      </c>
      <c r="AT36" s="479">
        <f t="shared" si="14"/>
        <v>0</v>
      </c>
      <c r="AU36" s="479">
        <f t="shared" si="15"/>
        <v>0</v>
      </c>
      <c r="AV36" s="471">
        <f>IF(Données!$H$8="x",AW36,AX36)</f>
        <v>6.9666666666666632</v>
      </c>
      <c r="AW36" s="471">
        <f t="shared" si="2"/>
        <v>3.4833333333333316</v>
      </c>
      <c r="AX36" s="471">
        <f t="shared" si="39"/>
        <v>6.9666666666666632</v>
      </c>
      <c r="AY36" s="467" t="str">
        <f t="shared" si="17"/>
        <v>Je</v>
      </c>
      <c r="AZ36" s="478">
        <f>IF((S39="O4ir")*AND(S40&lt;&gt;""),VLOOKUP(S40,Échelle!$AX$39:$AY$65,2),)</f>
        <v>0</v>
      </c>
      <c r="BA36" s="479" t="s">
        <v>33</v>
      </c>
      <c r="BB36" s="148"/>
    </row>
    <row r="37" spans="2:54" x14ac:dyDescent="0.2">
      <c r="AB37" s="200">
        <f t="shared" ref="AB37:AI37" si="40">SUM(AB7:AB36)</f>
        <v>0</v>
      </c>
      <c r="AC37" s="200">
        <f t="shared" si="40"/>
        <v>0</v>
      </c>
      <c r="AD37" s="200">
        <f t="shared" si="40"/>
        <v>0</v>
      </c>
      <c r="AE37" s="200">
        <f t="shared" si="40"/>
        <v>0</v>
      </c>
      <c r="AF37" s="200">
        <f t="shared" si="40"/>
        <v>0</v>
      </c>
      <c r="AG37" s="200">
        <f t="shared" si="40"/>
        <v>0</v>
      </c>
      <c r="AH37" s="200">
        <f t="shared" si="40"/>
        <v>0</v>
      </c>
      <c r="AI37" s="200">
        <f t="shared" si="40"/>
        <v>0</v>
      </c>
      <c r="AK37" s="200">
        <f>SUM(AK7:AK36)</f>
        <v>0</v>
      </c>
      <c r="AM37" s="4">
        <f>SUM(AM7:AM36)+AT37</f>
        <v>0</v>
      </c>
      <c r="AN37" s="39"/>
      <c r="AO37" s="7"/>
      <c r="AP37" s="4">
        <f>SUM(AP7:AP36)</f>
        <v>0</v>
      </c>
      <c r="AQ37" s="4">
        <f>SUM(AQ7:AQ36)</f>
        <v>0</v>
      </c>
      <c r="AR37" s="4">
        <f>SUM(AR7:AR36)</f>
        <v>0</v>
      </c>
      <c r="AS37" s="4">
        <f>SUM(AS7:AS36)</f>
        <v>0</v>
      </c>
      <c r="AT37" s="4">
        <f>SUM(AT7:AT36)</f>
        <v>0</v>
      </c>
      <c r="AU37" s="4">
        <f>SUM(AU7:AU36)+AT37</f>
        <v>0</v>
      </c>
      <c r="AV37" s="234"/>
      <c r="AW37" s="234"/>
      <c r="AZ37" s="7">
        <f>IF((S39="O5")*AND(S40&lt;&gt;""),VLOOKUP(S40,Échelle!$AC$39:$AD$65,2),)</f>
        <v>0</v>
      </c>
      <c r="BA37" s="4" t="s">
        <v>26</v>
      </c>
      <c r="BB37" s="4"/>
    </row>
    <row r="38" spans="2:54" x14ac:dyDescent="0.2">
      <c r="C38" s="35" t="s">
        <v>99</v>
      </c>
      <c r="D38" s="61"/>
      <c r="E38" s="61"/>
      <c r="F38" s="35"/>
      <c r="G38" s="35"/>
      <c r="H38" s="35"/>
      <c r="W38" s="361" t="s">
        <v>215</v>
      </c>
      <c r="X38" s="362"/>
      <c r="Z38" s="211" t="s">
        <v>216</v>
      </c>
      <c r="AA38" s="387" t="s">
        <v>217</v>
      </c>
      <c r="AB38" s="200">
        <f t="shared" ref="AB38:AI38" si="41">IF((MINUTE(AB37)&gt;=30),(AB37+0.041666667),AB37)</f>
        <v>0</v>
      </c>
      <c r="AC38" s="200">
        <f t="shared" si="41"/>
        <v>0</v>
      </c>
      <c r="AD38" s="200">
        <f t="shared" si="41"/>
        <v>0</v>
      </c>
      <c r="AE38" s="200">
        <f t="shared" si="41"/>
        <v>0</v>
      </c>
      <c r="AF38" s="200">
        <f t="shared" si="41"/>
        <v>0</v>
      </c>
      <c r="AG38" s="200">
        <f t="shared" si="41"/>
        <v>0</v>
      </c>
      <c r="AH38" s="200">
        <f t="shared" si="41"/>
        <v>0</v>
      </c>
      <c r="AI38" s="200">
        <f t="shared" si="41"/>
        <v>0</v>
      </c>
      <c r="AK38" s="200">
        <f>IF((MINUTE(AK37)&gt;=30),(AK37+0.041666667),AK37)</f>
        <v>0</v>
      </c>
      <c r="AM38" s="97">
        <f>AM37*(6.7*AA39)</f>
        <v>0</v>
      </c>
      <c r="AN38" s="39">
        <f>SUM(AN6:AN36)</f>
        <v>0</v>
      </c>
      <c r="AO38" s="7"/>
      <c r="AP38" s="4"/>
      <c r="AQ38" s="4"/>
      <c r="AR38" s="4"/>
      <c r="AS38" s="4"/>
      <c r="AW38" s="28"/>
      <c r="AZ38" s="7">
        <f>IF((S39="O5ir")*AND(S40&lt;&gt;""),VLOOKUP(S40,Échelle!$BA$39:$BB$65,2),)</f>
        <v>0</v>
      </c>
      <c r="BA38" s="4" t="s">
        <v>34</v>
      </c>
      <c r="BB38" s="4"/>
    </row>
    <row r="39" spans="2:54" x14ac:dyDescent="0.2">
      <c r="C39" s="62" t="s">
        <v>218</v>
      </c>
      <c r="D39" s="63"/>
      <c r="E39" s="63"/>
      <c r="F39" s="65"/>
      <c r="G39" s="64"/>
      <c r="H39" s="41">
        <f>Mai!$H$45</f>
        <v>33</v>
      </c>
      <c r="J39" s="12" t="s">
        <v>440</v>
      </c>
      <c r="K39" s="13"/>
      <c r="L39" s="14"/>
      <c r="M39" s="13"/>
      <c r="N39" s="13"/>
      <c r="O39" s="13"/>
      <c r="P39" s="14"/>
      <c r="Q39" s="14"/>
      <c r="R39" s="145"/>
      <c r="S39" s="151" t="s">
        <v>14</v>
      </c>
      <c r="T39" s="359" t="s">
        <v>220</v>
      </c>
      <c r="U39" s="360"/>
      <c r="V39" s="360"/>
      <c r="W39" s="268">
        <v>1</v>
      </c>
      <c r="X39" s="267" t="s">
        <v>221</v>
      </c>
      <c r="Z39" s="214">
        <v>1.7758</v>
      </c>
      <c r="AA39" s="388">
        <f>Z39</f>
        <v>1.7758</v>
      </c>
      <c r="AB39" s="200">
        <f t="shared" ref="AB39:AI39" si="42">IF(MINUTE(AB38)&gt;0,FLOOR(AB38,0.041666667),AB38)</f>
        <v>0</v>
      </c>
      <c r="AC39" s="200">
        <f t="shared" si="42"/>
        <v>0</v>
      </c>
      <c r="AD39" s="200">
        <f t="shared" si="42"/>
        <v>0</v>
      </c>
      <c r="AE39" s="200">
        <f t="shared" si="42"/>
        <v>0</v>
      </c>
      <c r="AF39" s="200">
        <f t="shared" si="42"/>
        <v>0</v>
      </c>
      <c r="AG39" s="200">
        <f t="shared" si="42"/>
        <v>0</v>
      </c>
      <c r="AH39" s="200">
        <f t="shared" si="42"/>
        <v>0</v>
      </c>
      <c r="AI39" s="200">
        <f t="shared" si="42"/>
        <v>0</v>
      </c>
      <c r="AK39" s="222">
        <f>IF(MINUTE(AK38)&gt;0,FLOOR(AK38,0.041666667),AK38)</f>
        <v>0</v>
      </c>
      <c r="AL39" s="4"/>
      <c r="AM39" s="4"/>
      <c r="AO39" s="4"/>
      <c r="AP39" s="4"/>
      <c r="AQ39" s="4"/>
      <c r="AR39" s="4"/>
      <c r="AS39" s="4"/>
      <c r="AT39" s="4"/>
      <c r="AU39" s="4"/>
      <c r="AW39" s="28"/>
      <c r="AZ39" s="7">
        <f>IF((S39="O6")*AND(S40&lt;&gt;""),VLOOKUP(S40,Échelle!$AF$39:$AG$65,2),)</f>
        <v>0</v>
      </c>
      <c r="BA39" s="4" t="s">
        <v>27</v>
      </c>
      <c r="BB39" s="4"/>
    </row>
    <row r="40" spans="2:54" ht="13.5" thickBot="1" x14ac:dyDescent="0.25">
      <c r="C40" s="62" t="s">
        <v>222</v>
      </c>
      <c r="D40" s="63"/>
      <c r="E40" s="63"/>
      <c r="F40" s="65"/>
      <c r="G40" s="64"/>
      <c r="H40" s="118">
        <v>0</v>
      </c>
      <c r="J40" s="15" t="s">
        <v>441</v>
      </c>
      <c r="K40" s="16"/>
      <c r="L40" s="17"/>
      <c r="M40" s="16"/>
      <c r="N40" s="16"/>
      <c r="O40" s="16"/>
      <c r="P40" s="17"/>
      <c r="Q40" s="17"/>
      <c r="R40" s="154"/>
      <c r="S40" s="152">
        <v>26</v>
      </c>
      <c r="T40" s="363">
        <f>AZ44</f>
        <v>32127.200000000001</v>
      </c>
      <c r="U40" s="364"/>
      <c r="V40" s="365"/>
      <c r="W40" s="317">
        <v>21822</v>
      </c>
      <c r="X40" s="317">
        <v>21498.68</v>
      </c>
      <c r="Z40" s="47"/>
      <c r="AA40" s="47"/>
      <c r="AB40" s="4">
        <f>COUNTIF(AL7:AL36,"1")</f>
        <v>0</v>
      </c>
      <c r="AG40" s="123"/>
      <c r="AH40" s="13" t="s">
        <v>229</v>
      </c>
      <c r="AI40" s="13"/>
      <c r="AJ40" s="124"/>
      <c r="AK40" s="13" t="s">
        <v>231</v>
      </c>
      <c r="AL40" s="13"/>
      <c r="AM40" s="22"/>
      <c r="AN40" s="124"/>
      <c r="AP40" s="4"/>
      <c r="AQ40" s="4"/>
      <c r="AR40" s="4"/>
      <c r="AS40" s="4"/>
      <c r="AT40" s="4"/>
      <c r="AU40" s="4"/>
      <c r="AZ40" s="7">
        <f>IF((S39="O6ir")*AND(S40&lt;&gt;""),VLOOKUP(S40,Échelle!$BD$39:$BE$65,2),)</f>
        <v>0</v>
      </c>
      <c r="BA40" s="4" t="s">
        <v>35</v>
      </c>
      <c r="BB40" s="4"/>
    </row>
    <row r="41" spans="2:54" ht="13.5" thickTop="1" x14ac:dyDescent="0.2">
      <c r="C41" s="62" t="s">
        <v>224</v>
      </c>
      <c r="D41" s="228"/>
      <c r="E41" s="228"/>
      <c r="F41" s="144"/>
      <c r="G41" s="144"/>
      <c r="H41" s="115">
        <f>AN38</f>
        <v>0</v>
      </c>
      <c r="I41" s="45"/>
      <c r="J41" s="18" t="s">
        <v>225</v>
      </c>
      <c r="K41" s="4"/>
      <c r="L41" s="98"/>
      <c r="M41" s="223">
        <f>AK39</f>
        <v>0</v>
      </c>
      <c r="N41" s="35" t="s">
        <v>226</v>
      </c>
      <c r="O41" s="75"/>
      <c r="P41" s="47"/>
      <c r="Q41" s="47"/>
      <c r="R41" s="26"/>
      <c r="S41" s="13"/>
      <c r="T41" s="116"/>
      <c r="U41" s="158">
        <f>IF(X3="x",(M41*AK42/0.041666667),0)</f>
        <v>0</v>
      </c>
      <c r="V41" s="26" t="s">
        <v>227</v>
      </c>
      <c r="W41" s="160">
        <f>IF(Z3="x",(M41*AH42/0.041666667),0)</f>
        <v>0</v>
      </c>
      <c r="X41" s="26" t="s">
        <v>227</v>
      </c>
      <c r="Z41" s="216" t="s">
        <v>228</v>
      </c>
      <c r="AA41" s="217"/>
      <c r="AB41" s="4">
        <f>COUNTIF(AL7:AL36,"2")</f>
        <v>0</v>
      </c>
      <c r="AC41" s="7">
        <v>0.625</v>
      </c>
      <c r="AD41" s="23" t="s">
        <v>374</v>
      </c>
      <c r="AG41" s="281"/>
      <c r="AH41" s="21">
        <f>X40*1.2434/1850</f>
        <v>14.449437141621623</v>
      </c>
      <c r="AI41" s="21"/>
      <c r="AJ41" s="48"/>
      <c r="AK41" s="21">
        <f>T40*AA39/1850</f>
        <v>30.83863878918919</v>
      </c>
      <c r="AL41" s="21" t="s">
        <v>230</v>
      </c>
      <c r="AM41" s="46"/>
      <c r="AN41" s="48"/>
      <c r="AP41" s="4"/>
      <c r="AQ41" s="4"/>
      <c r="AR41" s="4"/>
      <c r="AS41" s="4"/>
      <c r="AT41" s="4"/>
      <c r="AU41" s="4"/>
      <c r="AZ41" s="7">
        <f>IF((S39="O7")*AND(S40&lt;&gt;""),VLOOKUP(S40,Échelle!$AI$39:$AJ$65,2),)</f>
        <v>0</v>
      </c>
      <c r="BA41" s="4" t="s">
        <v>28</v>
      </c>
      <c r="BB41" s="2"/>
    </row>
    <row r="42" spans="2:54" x14ac:dyDescent="0.2">
      <c r="C42" s="62" t="s">
        <v>232</v>
      </c>
      <c r="D42" s="63"/>
      <c r="E42" s="63"/>
      <c r="F42" s="65"/>
      <c r="G42" s="303" t="s">
        <v>233</v>
      </c>
      <c r="H42" s="41">
        <f>AB40+(AB41/2)+(AB42/2)</f>
        <v>0</v>
      </c>
      <c r="J42" s="18" t="s">
        <v>234</v>
      </c>
      <c r="K42" s="4"/>
      <c r="L42" s="47"/>
      <c r="M42" s="224">
        <f>IF(Z3="x",AD39,)</f>
        <v>0</v>
      </c>
      <c r="N42" s="35" t="s">
        <v>226</v>
      </c>
      <c r="O42" s="75"/>
      <c r="P42" s="47"/>
      <c r="Q42" s="47"/>
      <c r="R42" s="26"/>
      <c r="S42" s="21"/>
      <c r="T42" s="103"/>
      <c r="U42" s="158"/>
      <c r="V42" s="26"/>
      <c r="W42" s="160">
        <f>IF(Z3="x",(M42*AH50/0.041666667),0)</f>
        <v>0</v>
      </c>
      <c r="X42" s="26"/>
      <c r="Z42" s="218" t="s">
        <v>235</v>
      </c>
      <c r="AA42" s="219"/>
      <c r="AB42" s="4">
        <f>COUNTIF(AL7:AL36,"7")</f>
        <v>0</v>
      </c>
      <c r="AF42" s="4">
        <f>M45*78</f>
        <v>0</v>
      </c>
      <c r="AG42" s="282" t="s">
        <v>155</v>
      </c>
      <c r="AH42" s="21">
        <f>AH41*0.9645*AK48/100*1.45</f>
        <v>9.3966730714961653</v>
      </c>
      <c r="AI42" s="21"/>
      <c r="AJ42" s="48"/>
      <c r="AK42" s="213">
        <f>(AK41*0.9645)*AK48/100</f>
        <v>13.830898207160432</v>
      </c>
      <c r="AL42" s="20" t="s">
        <v>236</v>
      </c>
      <c r="AM42" s="54"/>
      <c r="AN42" s="55"/>
      <c r="AP42" s="4"/>
      <c r="AQ42" s="4"/>
      <c r="AR42" s="4"/>
      <c r="AS42" s="4"/>
      <c r="AT42" s="4"/>
      <c r="AU42" s="4"/>
      <c r="AZ42" s="7">
        <f>IF((S39="O8")*AND(S40&lt;&gt;""),VLOOKUP(S40,Échelle!$AL$39:$AM$68,2),)</f>
        <v>0</v>
      </c>
      <c r="BA42" s="4" t="s">
        <v>29</v>
      </c>
      <c r="BB42" s="2"/>
    </row>
    <row r="43" spans="2:54" x14ac:dyDescent="0.2">
      <c r="C43" s="304"/>
      <c r="D43" s="66"/>
      <c r="E43" s="66"/>
      <c r="F43" s="67"/>
      <c r="G43" s="68"/>
      <c r="H43" s="73"/>
      <c r="J43" s="18" t="s">
        <v>238</v>
      </c>
      <c r="K43" s="46"/>
      <c r="L43" s="46"/>
      <c r="M43" s="224">
        <f>IF(X3="x",AF39,)</f>
        <v>0</v>
      </c>
      <c r="N43" s="35" t="s">
        <v>226</v>
      </c>
      <c r="O43" s="21"/>
      <c r="P43" s="21"/>
      <c r="Q43" s="21"/>
      <c r="R43" s="21"/>
      <c r="S43" s="18"/>
      <c r="T43" s="103"/>
      <c r="U43" s="158">
        <f>IF(X3="x",(M43*AK50/0.041666667),0)</f>
        <v>0</v>
      </c>
      <c r="V43" s="26" t="s">
        <v>227</v>
      </c>
      <c r="W43" s="160"/>
      <c r="X43" s="26" t="s">
        <v>227</v>
      </c>
      <c r="Z43" s="221">
        <f>AK47</f>
        <v>53.5</v>
      </c>
      <c r="AA43" s="220"/>
      <c r="AB43" s="4" t="s">
        <v>375</v>
      </c>
      <c r="AC43" s="4"/>
      <c r="AF43" s="4">
        <f>M46*23</f>
        <v>0</v>
      </c>
      <c r="AG43" s="18" t="s">
        <v>239</v>
      </c>
      <c r="AH43" s="283">
        <f>(W40*1.2434/1850)*0.009645*AK48</f>
        <v>6.5779242955345953</v>
      </c>
      <c r="AI43" s="283"/>
      <c r="AJ43" s="48"/>
      <c r="AK43" s="4">
        <v>1.24</v>
      </c>
      <c r="AL43" s="4" t="s">
        <v>240</v>
      </c>
      <c r="AP43" s="4"/>
      <c r="AQ43" s="4"/>
      <c r="AR43" s="4"/>
      <c r="AS43" s="4"/>
      <c r="AT43" s="4"/>
      <c r="AU43" s="4"/>
      <c r="AZ43" s="7">
        <f>IF((S39=Échelle!CB3)*AND(S40&lt;&gt;""),VLOOKUP(S40,Échelle!$CB$5:$CC$38,2),)</f>
        <v>0</v>
      </c>
      <c r="BA43" s="4" t="s">
        <v>237</v>
      </c>
      <c r="BB43" s="2"/>
    </row>
    <row r="44" spans="2:54" x14ac:dyDescent="0.2">
      <c r="C44" s="69" t="s">
        <v>241</v>
      </c>
      <c r="D44" s="70"/>
      <c r="E44" s="70"/>
      <c r="F44" s="71"/>
      <c r="G44" s="72"/>
      <c r="H44" s="74">
        <f>H39-H42+H40+H41</f>
        <v>33</v>
      </c>
      <c r="J44" s="18" t="s">
        <v>242</v>
      </c>
      <c r="K44" s="46"/>
      <c r="L44" s="46"/>
      <c r="M44" s="224">
        <f>IF(X3="x",AG39,)</f>
        <v>0</v>
      </c>
      <c r="N44" s="35" t="s">
        <v>226</v>
      </c>
      <c r="O44" s="21"/>
      <c r="P44" s="21"/>
      <c r="Q44" s="21"/>
      <c r="R44" s="21"/>
      <c r="S44" s="18"/>
      <c r="T44" s="103"/>
      <c r="U44" s="158">
        <f>IF(X3="x",(M44*AK51/0.041666667),0)</f>
        <v>0</v>
      </c>
      <c r="V44" s="26" t="s">
        <v>227</v>
      </c>
      <c r="W44" s="160"/>
      <c r="X44" s="26" t="s">
        <v>227</v>
      </c>
      <c r="Y44" s="47"/>
      <c r="Z44" s="47"/>
      <c r="AA44" s="47"/>
      <c r="AB44" s="7">
        <f>IF((M36-N36-U4)&gt;0,(M36-N36-U4-G54),)</f>
        <v>0</v>
      </c>
      <c r="AC44" s="7">
        <f>IF((MINUTE(AB44)&gt;=30),(0.041666667),)</f>
        <v>0</v>
      </c>
      <c r="AD44" s="7">
        <f>AB44+AC44</f>
        <v>0</v>
      </c>
      <c r="AE44" s="7">
        <f>AD44</f>
        <v>0</v>
      </c>
      <c r="AG44" s="19"/>
      <c r="AH44" s="20"/>
      <c r="AI44" s="20"/>
      <c r="AJ44" s="55"/>
      <c r="AK44" s="4">
        <v>2.48</v>
      </c>
      <c r="AL44" s="4" t="s">
        <v>169</v>
      </c>
      <c r="AZ44" s="4">
        <f>SUM(AZ7:AZ43)</f>
        <v>32127.200000000001</v>
      </c>
      <c r="BB44" s="2"/>
    </row>
    <row r="45" spans="2:54" x14ac:dyDescent="0.2">
      <c r="J45" s="18" t="s">
        <v>243</v>
      </c>
      <c r="K45" s="4"/>
      <c r="L45" s="47"/>
      <c r="M45" s="100">
        <f>COUNTIF(Q7:Q36,"1")</f>
        <v>0</v>
      </c>
      <c r="N45" s="18" t="s">
        <v>244</v>
      </c>
      <c r="O45" s="4"/>
      <c r="P45" s="47"/>
      <c r="Q45" s="47"/>
      <c r="R45" s="26">
        <f>COUNTIF(Q7:Q36,"2")</f>
        <v>0</v>
      </c>
      <c r="S45" s="21"/>
      <c r="T45" s="103"/>
      <c r="U45" s="158">
        <f>IF(X3="x",(M45*AK44*AA39+(R45*AA39*6.2)),0)</f>
        <v>0</v>
      </c>
      <c r="V45" s="26" t="s">
        <v>227</v>
      </c>
      <c r="W45" s="158">
        <f>IF(Z3="x",(M45*AK44*AA39+(R45*AA39*6.2)),0)</f>
        <v>0</v>
      </c>
      <c r="X45" s="26" t="s">
        <v>227</v>
      </c>
      <c r="Y45" s="47"/>
      <c r="Z45" s="47"/>
      <c r="AA45" s="47"/>
      <c r="AB45" s="7"/>
      <c r="AC45" s="7"/>
      <c r="AD45" s="7"/>
      <c r="AE45" s="7">
        <f>HOUR(AE44)</f>
        <v>0</v>
      </c>
      <c r="AG45" s="4"/>
      <c r="AH45" s="4"/>
      <c r="AI45" s="4"/>
      <c r="AK45" s="4">
        <v>2.48</v>
      </c>
      <c r="AL45" s="4" t="s">
        <v>170</v>
      </c>
      <c r="BB45" s="2"/>
    </row>
    <row r="46" spans="2:54" x14ac:dyDescent="0.2">
      <c r="C46" s="35" t="s">
        <v>306</v>
      </c>
      <c r="F46" s="4"/>
      <c r="G46" s="109" t="s">
        <v>307</v>
      </c>
      <c r="H46" s="109" t="s">
        <v>308</v>
      </c>
      <c r="J46" s="18" t="s">
        <v>249</v>
      </c>
      <c r="K46" s="21"/>
      <c r="L46" s="47"/>
      <c r="M46" s="100">
        <f>COUNTIF(R7:R36,"1")</f>
        <v>0</v>
      </c>
      <c r="N46" s="18" t="s">
        <v>250</v>
      </c>
      <c r="O46" s="21"/>
      <c r="P46" s="47"/>
      <c r="Q46" s="47"/>
      <c r="R46" s="26">
        <f>COUNTIF(R7:R36,"2")</f>
        <v>0</v>
      </c>
      <c r="S46" s="21"/>
      <c r="T46" s="103"/>
      <c r="U46" s="158">
        <f>IF(X3="x",(M46*AK45*AA39+(R46*AA39*6.2)),0)</f>
        <v>0</v>
      </c>
      <c r="V46" s="26" t="s">
        <v>227</v>
      </c>
      <c r="W46" s="158">
        <f>IF(Z3="x",(M46*AK45*AA39+(R46*AA39*6.2)),0)</f>
        <v>0</v>
      </c>
      <c r="X46" s="26" t="s">
        <v>227</v>
      </c>
      <c r="Y46" s="47"/>
      <c r="Z46" s="47"/>
      <c r="AA46" s="47"/>
      <c r="AB46" s="7">
        <f>HOUR(AD44)*0.041666667</f>
        <v>0</v>
      </c>
      <c r="AD46" s="7"/>
      <c r="AG46" s="4"/>
      <c r="AH46" s="4"/>
      <c r="AI46" s="4"/>
      <c r="AK46" s="4">
        <v>1.74</v>
      </c>
      <c r="AL46" s="4" t="s">
        <v>251</v>
      </c>
      <c r="BB46" s="2"/>
    </row>
    <row r="47" spans="2:54" x14ac:dyDescent="0.2">
      <c r="C47" s="35" t="s">
        <v>252</v>
      </c>
      <c r="G47" s="127" t="s">
        <v>117</v>
      </c>
      <c r="H47" s="127"/>
      <c r="J47" s="18" t="s">
        <v>253</v>
      </c>
      <c r="K47" s="21"/>
      <c r="L47" s="150"/>
      <c r="M47" s="21">
        <f>COUNTIF(S7:S36,"1")</f>
        <v>0</v>
      </c>
      <c r="N47" s="18" t="s">
        <v>254</v>
      </c>
      <c r="O47" s="4"/>
      <c r="P47" s="4"/>
      <c r="Q47" s="21"/>
      <c r="R47" s="26">
        <f>COUNTIF(S7:S36,"2")</f>
        <v>0</v>
      </c>
      <c r="S47" s="21"/>
      <c r="T47" s="153"/>
      <c r="U47" s="158">
        <f>IF(X3="x",(M47*AK46*AA39+(R47*AA39*3.48)),0)</f>
        <v>0</v>
      </c>
      <c r="V47" s="26" t="s">
        <v>227</v>
      </c>
      <c r="W47" s="158">
        <f>IF(Z3="x",(M47*AK46*AA39+(R47*AA39*3.48)),0)</f>
        <v>0</v>
      </c>
      <c r="X47" s="26" t="s">
        <v>227</v>
      </c>
      <c r="AB47" s="7"/>
      <c r="AD47" s="96"/>
      <c r="AG47" s="4"/>
      <c r="AH47" s="4"/>
      <c r="AI47" s="4"/>
      <c r="AK47" s="4">
        <f>VLOOKUP(AS47,Données!$F$74:$H$85,3)</f>
        <v>53.5</v>
      </c>
      <c r="AL47" s="4" t="s">
        <v>255</v>
      </c>
      <c r="AP47" s="385">
        <f>T40*Z39</f>
        <v>57051.481760000002</v>
      </c>
      <c r="AQ47" s="2">
        <f>AP47*0.075</f>
        <v>4278.861132</v>
      </c>
      <c r="AR47" s="2">
        <f>AP47*0.0355</f>
        <v>2025.32760248</v>
      </c>
      <c r="AS47" s="225">
        <f>AP47-AQ47-AR47</f>
        <v>50747.293025520004</v>
      </c>
      <c r="BB47" s="2"/>
    </row>
    <row r="48" spans="2:54" x14ac:dyDescent="0.2">
      <c r="J48" s="18" t="s">
        <v>256</v>
      </c>
      <c r="K48" s="21"/>
      <c r="L48" s="150"/>
      <c r="M48" s="21">
        <f>COUNTIF(T7:T36,"1")</f>
        <v>0</v>
      </c>
      <c r="N48" s="18" t="s">
        <v>257</v>
      </c>
      <c r="O48" s="4"/>
      <c r="P48" s="4"/>
      <c r="Q48" s="21"/>
      <c r="R48" s="26">
        <f>COUNTIF(T7:T36,"2")</f>
        <v>0</v>
      </c>
      <c r="S48" s="21"/>
      <c r="T48" s="153"/>
      <c r="U48" s="158">
        <f>IF(X3="x",(M48*AK43*AA39+(R48*AA39*2.48)),0)</f>
        <v>0</v>
      </c>
      <c r="V48" s="26" t="s">
        <v>227</v>
      </c>
      <c r="W48" s="158">
        <f>IF(Z3="x",(M48*AK43*AA39+(R48*AA39*2.48)),0)</f>
        <v>0</v>
      </c>
      <c r="X48" s="26" t="s">
        <v>227</v>
      </c>
      <c r="AB48" s="7">
        <f>IF(MINUTE(AB44)&gt;0,FLOOR(AE44,0.041666667),AE44)</f>
        <v>0</v>
      </c>
      <c r="AC48" s="96"/>
      <c r="AD48" s="96"/>
      <c r="AF48" s="7"/>
      <c r="AG48" s="4"/>
      <c r="AH48" s="4"/>
      <c r="AI48" s="4"/>
      <c r="AK48" s="4">
        <f>100-AK47</f>
        <v>46.5</v>
      </c>
      <c r="AL48" s="4" t="s">
        <v>258</v>
      </c>
      <c r="BB48" s="2"/>
    </row>
    <row r="49" spans="3:54" x14ac:dyDescent="0.2">
      <c r="C49" s="4" t="s">
        <v>259</v>
      </c>
      <c r="F49" s="4"/>
      <c r="G49" s="4"/>
      <c r="J49" s="18" t="s">
        <v>260</v>
      </c>
      <c r="K49" s="4"/>
      <c r="L49" s="21"/>
      <c r="M49" s="224">
        <f>IF(AND(O36="+",G47="x",AB44&gt;=0),AB48,0)</f>
        <v>0</v>
      </c>
      <c r="N49" s="35" t="s">
        <v>226</v>
      </c>
      <c r="O49" s="75"/>
      <c r="P49" s="47"/>
      <c r="Q49" s="47"/>
      <c r="R49" s="26"/>
      <c r="S49" s="21"/>
      <c r="T49" s="103"/>
      <c r="U49" s="158">
        <f>IF(X3="x",(M49*AK42/0.041666667),0)</f>
        <v>0</v>
      </c>
      <c r="V49" s="26" t="s">
        <v>227</v>
      </c>
      <c r="W49" s="160">
        <f>IF(Z3="x",(M49*AH43/0.041666667),0)</f>
        <v>0</v>
      </c>
      <c r="X49" s="26" t="s">
        <v>227</v>
      </c>
      <c r="AG49" s="4"/>
      <c r="AH49" s="4"/>
      <c r="AI49" s="4"/>
      <c r="BB49" s="2"/>
    </row>
    <row r="50" spans="3:54" x14ac:dyDescent="0.2">
      <c r="C50" s="4" t="s">
        <v>261</v>
      </c>
      <c r="F50" s="4"/>
      <c r="G50" s="215">
        <v>0</v>
      </c>
      <c r="I50" s="4"/>
      <c r="J50" s="18" t="s">
        <v>262</v>
      </c>
      <c r="K50" s="21"/>
      <c r="L50" s="21"/>
      <c r="M50" s="177">
        <f>AM37</f>
        <v>0</v>
      </c>
      <c r="N50" s="188" t="s">
        <v>263</v>
      </c>
      <c r="O50" s="153"/>
      <c r="P50" s="47"/>
      <c r="Q50" s="47"/>
      <c r="R50" s="26"/>
      <c r="S50" s="21"/>
      <c r="T50" s="153"/>
      <c r="U50" s="158">
        <f>IF(X3="x",AM38,0)</f>
        <v>0</v>
      </c>
      <c r="V50" s="26" t="s">
        <v>227</v>
      </c>
      <c r="W50" s="160">
        <f>IF(Z3="x",AM38,0)</f>
        <v>0</v>
      </c>
      <c r="X50" s="26" t="s">
        <v>227</v>
      </c>
      <c r="AG50" s="4" t="s">
        <v>161</v>
      </c>
      <c r="AH50" s="4">
        <f>AH41*0.00325*0.9645*AK48</f>
        <v>2.1061508608525887</v>
      </c>
      <c r="AI50" s="4"/>
      <c r="AK50" s="97">
        <f>AK42/100*20</f>
        <v>2.7661796414320867</v>
      </c>
      <c r="AL50" s="4" t="s">
        <v>264</v>
      </c>
      <c r="BB50" s="2"/>
    </row>
    <row r="51" spans="3:54" x14ac:dyDescent="0.2">
      <c r="C51" s="245" t="s">
        <v>265</v>
      </c>
      <c r="J51" s="18" t="s">
        <v>266</v>
      </c>
      <c r="K51" s="47"/>
      <c r="L51" s="21"/>
      <c r="M51" s="100">
        <f>SUM(AA7:AA36)</f>
        <v>0</v>
      </c>
      <c r="N51" s="188" t="s">
        <v>267</v>
      </c>
      <c r="O51" s="21"/>
      <c r="P51" s="21"/>
      <c r="Q51" s="21"/>
      <c r="R51" s="21"/>
      <c r="S51" s="18"/>
      <c r="T51" s="187"/>
      <c r="U51" s="158">
        <f>IF(X3="x",(M51*Données!$T$13),0)</f>
        <v>0</v>
      </c>
      <c r="V51" s="26" t="s">
        <v>227</v>
      </c>
      <c r="W51" s="160">
        <f>IF(Z3="x",M51*0.2,0)</f>
        <v>0</v>
      </c>
      <c r="X51" s="26" t="s">
        <v>227</v>
      </c>
      <c r="AK51" s="97">
        <f>AK42/100*35</f>
        <v>4.8408143725061512</v>
      </c>
      <c r="AL51" s="4" t="s">
        <v>268</v>
      </c>
      <c r="BB51" s="2"/>
    </row>
    <row r="52" spans="3:54" x14ac:dyDescent="0.2">
      <c r="J52" s="18" t="s">
        <v>269</v>
      </c>
      <c r="K52" s="21"/>
      <c r="L52" s="21"/>
      <c r="M52" s="224">
        <f>AH53</f>
        <v>0</v>
      </c>
      <c r="N52" s="35" t="s">
        <v>226</v>
      </c>
      <c r="O52" s="21"/>
      <c r="P52" s="21"/>
      <c r="Q52" s="21"/>
      <c r="R52" s="21"/>
      <c r="S52" s="18"/>
      <c r="T52" s="153"/>
      <c r="U52" s="158">
        <f>IF(X3="x",(M52*AK53/0.041666667),0)</f>
        <v>0</v>
      </c>
      <c r="V52" s="26" t="s">
        <v>227</v>
      </c>
      <c r="W52" s="158">
        <f>IF(Z3="x",(M52*AK53/0.041666667),0)</f>
        <v>0</v>
      </c>
      <c r="X52" s="26" t="s">
        <v>227</v>
      </c>
      <c r="AK52" s="225"/>
      <c r="BB52" s="2"/>
    </row>
    <row r="53" spans="3:54" x14ac:dyDescent="0.2">
      <c r="C53" s="35" t="s">
        <v>270</v>
      </c>
      <c r="J53" s="18" t="s">
        <v>271</v>
      </c>
      <c r="K53" s="21"/>
      <c r="L53" s="21"/>
      <c r="M53" s="224">
        <f>AH54</f>
        <v>0</v>
      </c>
      <c r="N53" s="188" t="s">
        <v>226</v>
      </c>
      <c r="O53" s="21"/>
      <c r="P53" s="21"/>
      <c r="Q53" s="21"/>
      <c r="R53" s="21"/>
      <c r="S53" s="18"/>
      <c r="T53" s="153"/>
      <c r="U53" s="158">
        <f>IF(X3="x",(M53*AK54/0.041666667),0)</f>
        <v>0</v>
      </c>
      <c r="V53" s="26" t="s">
        <v>227</v>
      </c>
      <c r="W53" s="158">
        <f>IF(Z3="x",(M53*AK54/0.041666667),0)</f>
        <v>0</v>
      </c>
      <c r="X53" s="26" t="s">
        <v>227</v>
      </c>
      <c r="AE53" s="285">
        <f>SUM(Y7:Y36)</f>
        <v>0</v>
      </c>
      <c r="AF53" s="196">
        <f>IF(MINUTE(AE53)&gt;=30,AE53+0.041666667,AE53)</f>
        <v>0</v>
      </c>
      <c r="AG53" s="196"/>
      <c r="AH53" s="13">
        <f>IF(MINUTE(AF53)&gt;0,FLOOR(AF53,0.041666667),AF53)</f>
        <v>0</v>
      </c>
      <c r="AI53" s="13"/>
      <c r="AJ53" s="196"/>
      <c r="AK53" s="212">
        <f>AK42/24</f>
        <v>0.57628742529835131</v>
      </c>
      <c r="AL53" s="13" t="s">
        <v>272</v>
      </c>
      <c r="AM53" s="13"/>
      <c r="AN53" s="13"/>
      <c r="AO53" s="13"/>
      <c r="AP53" s="121"/>
      <c r="BB53" s="2"/>
    </row>
    <row r="54" spans="3:54" x14ac:dyDescent="0.2">
      <c r="C54" s="35" t="s">
        <v>261</v>
      </c>
      <c r="G54" s="198">
        <v>0</v>
      </c>
      <c r="J54" s="19" t="s">
        <v>273</v>
      </c>
      <c r="K54" s="20"/>
      <c r="L54" s="20"/>
      <c r="M54" s="318">
        <f>AU37</f>
        <v>0</v>
      </c>
      <c r="N54" s="20" t="s">
        <v>263</v>
      </c>
      <c r="O54" s="20"/>
      <c r="P54" s="20"/>
      <c r="Q54" s="20"/>
      <c r="R54" s="20"/>
      <c r="S54" s="19"/>
      <c r="T54" s="20"/>
      <c r="U54" s="159">
        <f>IF(X3="x",(M54*(2.81*AA39))/100*(100-Z43),0)</f>
        <v>0</v>
      </c>
      <c r="V54" s="27" t="s">
        <v>227</v>
      </c>
      <c r="W54" s="159">
        <f>IF(Z3="x",(M54*(2.81*AA39))/100*(100-Z43),0)</f>
        <v>0</v>
      </c>
      <c r="X54" s="27" t="s">
        <v>227</v>
      </c>
      <c r="AE54" s="286">
        <f>SUM(Z7:Z36)</f>
        <v>0</v>
      </c>
      <c r="AF54" s="197">
        <f>IF(MINUTE(AE54)&gt;=30,AE54+0.041666667,AE54)</f>
        <v>0</v>
      </c>
      <c r="AG54" s="197"/>
      <c r="AH54" s="20">
        <f>IF(MINUTE(AF54)&gt;0,FLOOR(AF54,0.041666667),AF54)</f>
        <v>0</v>
      </c>
      <c r="AI54" s="20"/>
      <c r="AJ54" s="197"/>
      <c r="AK54" s="213">
        <f>AK42/15</f>
        <v>0.9220598804773622</v>
      </c>
      <c r="AL54" s="20" t="s">
        <v>274</v>
      </c>
      <c r="AM54" s="20"/>
      <c r="AN54" s="20"/>
      <c r="AO54" s="20"/>
      <c r="AP54" s="119"/>
      <c r="BB54" s="2"/>
    </row>
    <row r="55" spans="3:54" x14ac:dyDescent="0.2">
      <c r="C55" s="245" t="s">
        <v>265</v>
      </c>
      <c r="E55" s="21"/>
      <c r="F55" s="47"/>
      <c r="G55" s="21"/>
      <c r="L55" s="104" t="s">
        <v>275</v>
      </c>
      <c r="M55" s="104"/>
      <c r="N55" s="19"/>
      <c r="O55" s="105"/>
      <c r="P55" s="99"/>
      <c r="Q55" s="99"/>
      <c r="R55" s="27"/>
      <c r="S55" s="20"/>
      <c r="T55" s="106"/>
      <c r="U55" s="159">
        <f>IF(X3="x",(SUM(U41:U54)),0)</f>
        <v>0</v>
      </c>
      <c r="V55" s="27" t="s">
        <v>227</v>
      </c>
      <c r="W55" s="159">
        <f>IF(Z3="x",(SUM(W41:W54)),0)</f>
        <v>0</v>
      </c>
      <c r="X55" s="27" t="s">
        <v>227</v>
      </c>
      <c r="BB55" s="2"/>
    </row>
    <row r="60" spans="3:54" x14ac:dyDescent="0.2">
      <c r="E60" s="32"/>
      <c r="F60" s="58"/>
      <c r="G60" s="32"/>
      <c r="H60" s="32"/>
      <c r="I60" s="32"/>
      <c r="J60" s="32"/>
      <c r="K60" s="32"/>
      <c r="L60" s="135"/>
      <c r="M60" s="191"/>
      <c r="N60" s="32"/>
      <c r="O60" s="30"/>
      <c r="P60" s="30"/>
      <c r="Q60" s="30"/>
      <c r="R60" s="32"/>
      <c r="S60" s="1"/>
      <c r="T60" s="1"/>
      <c r="U60" s="32"/>
      <c r="V60" s="32"/>
      <c r="W60" s="192"/>
      <c r="X60" s="30"/>
    </row>
    <row r="61" spans="3:54" x14ac:dyDescent="0.2">
      <c r="E61" s="32"/>
      <c r="F61" s="58"/>
      <c r="G61" s="32"/>
      <c r="H61" s="32"/>
      <c r="I61" s="32"/>
      <c r="J61" s="32"/>
      <c r="K61" s="32"/>
      <c r="L61" s="135"/>
      <c r="M61" s="191"/>
      <c r="N61" s="32"/>
      <c r="O61" s="30"/>
      <c r="P61" s="30"/>
      <c r="Q61" s="30"/>
      <c r="R61" s="32"/>
      <c r="S61" s="1"/>
      <c r="T61" s="1"/>
      <c r="U61" s="32"/>
      <c r="V61" s="32"/>
      <c r="W61" s="193"/>
      <c r="X61" s="32"/>
    </row>
  </sheetData>
  <sheetProtection algorithmName="SHA-512" hashValue="8oC/tgito66/V+IwDiKK68vRbQGUMwJs/quxNFCB5NTZ9IdMU2hM4LGD8ExlsQN+Z21eJbdDDiwb6lBVuryptg==" saltValue="35YdkcLhu4f16CfZQkzAFQ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  <ignoredErrors>
    <ignoredError sqref="Q7:T36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BB63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570312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6" width="5.7109375" style="5" customWidth="1"/>
    <col min="27" max="27" width="5.85546875" style="5" bestFit="1" customWidth="1"/>
    <col min="28" max="28" width="14" style="2" hidden="1" customWidth="1"/>
    <col min="29" max="29" width="4.8554687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3" width="10.42578125" style="2" hidden="1" customWidth="1"/>
    <col min="44" max="44" width="12" style="2" hidden="1" customWidth="1"/>
    <col min="45" max="46" width="10.42578125" style="2" hidden="1" customWidth="1"/>
    <col min="47" max="47" width="4.28515625" style="2" hidden="1" customWidth="1"/>
    <col min="48" max="48" width="7.7109375" style="39" hidden="1" customWidth="1"/>
    <col min="49" max="49" width="6.42578125" style="39" hidden="1" customWidth="1"/>
    <col min="50" max="50" width="5.7109375" style="2" hidden="1" customWidth="1"/>
    <col min="51" max="51" width="3" style="2" hidden="1" customWidth="1"/>
    <col min="52" max="52" width="5.28515625" style="4" hidden="1" customWidth="1"/>
    <col min="53" max="53" width="6.42578125" style="4" hidden="1" customWidth="1"/>
    <col min="54" max="54" width="51.7109375" customWidth="1"/>
    <col min="55" max="55" width="0" hidden="1" customWidth="1"/>
  </cols>
  <sheetData>
    <row r="1" spans="2:54" x14ac:dyDescent="0.2">
      <c r="C1" s="307"/>
      <c r="H1" s="248"/>
      <c r="X1" s="178"/>
      <c r="Y1" s="179"/>
      <c r="Z1" s="179" t="s">
        <v>110</v>
      </c>
      <c r="AA1" s="180"/>
      <c r="AD1" s="96">
        <v>0.29166666666666669</v>
      </c>
      <c r="AQ1" s="39" t="s">
        <v>111</v>
      </c>
      <c r="AR1" s="39" t="s">
        <v>112</v>
      </c>
      <c r="AS1" s="39" t="s">
        <v>113</v>
      </c>
      <c r="AT1" s="39" t="s">
        <v>114</v>
      </c>
      <c r="AU1" s="39"/>
      <c r="BB1" s="2"/>
    </row>
    <row r="2" spans="2:54" x14ac:dyDescent="0.2">
      <c r="C2" s="246"/>
      <c r="M2" s="136"/>
      <c r="N2" s="137"/>
      <c r="O2" s="137"/>
      <c r="P2" s="137"/>
      <c r="Q2" s="137"/>
      <c r="R2" s="137"/>
      <c r="S2" s="137"/>
      <c r="T2" s="137"/>
      <c r="U2" s="138"/>
      <c r="V2" s="139"/>
      <c r="X2" s="181" t="s">
        <v>115</v>
      </c>
      <c r="Y2" s="182"/>
      <c r="Z2" s="182" t="s">
        <v>116</v>
      </c>
      <c r="AA2" s="183"/>
      <c r="AC2" s="112"/>
      <c r="AD2" s="96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0"/>
      <c r="M3" s="140"/>
      <c r="N3" s="141"/>
      <c r="O3" s="141"/>
      <c r="P3" s="141"/>
      <c r="Q3" s="141"/>
      <c r="R3" s="141"/>
      <c r="S3" s="141"/>
      <c r="T3" s="141"/>
      <c r="U3" s="142"/>
      <c r="V3" s="143"/>
      <c r="X3" s="253" t="s">
        <v>117</v>
      </c>
      <c r="Y3" s="184"/>
      <c r="Z3" s="253"/>
      <c r="AA3" s="185"/>
      <c r="AD3" s="96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B4" s="277" t="s">
        <v>694</v>
      </c>
      <c r="C4" s="465" t="str">
        <f>Données!F6</f>
        <v>Memento 2022</v>
      </c>
      <c r="G4" s="4" t="s">
        <v>118</v>
      </c>
      <c r="I4" s="4"/>
      <c r="J4" s="4"/>
      <c r="M4" s="386">
        <f>Juin!$G$54</f>
        <v>0</v>
      </c>
      <c r="P4" s="4" t="s">
        <v>119</v>
      </c>
      <c r="Q4" s="4"/>
      <c r="R4" s="4"/>
      <c r="S4" s="4"/>
      <c r="T4" s="4"/>
      <c r="U4" s="199">
        <f>IF(Juin!$H$47="x",Juin!$U$4,Juin!$G$50)</f>
        <v>0</v>
      </c>
      <c r="AV4" s="84"/>
      <c r="AW4" s="84" t="s">
        <v>120</v>
      </c>
      <c r="AX4" s="113">
        <v>0</v>
      </c>
      <c r="AY4" s="113"/>
      <c r="BB4" s="2"/>
    </row>
    <row r="5" spans="2:54" x14ac:dyDescent="0.2">
      <c r="B5" s="81"/>
      <c r="C5" s="82"/>
      <c r="D5" s="83" t="s">
        <v>122</v>
      </c>
      <c r="E5" s="83" t="s">
        <v>123</v>
      </c>
      <c r="F5" s="90" t="s">
        <v>124</v>
      </c>
      <c r="G5" s="91"/>
      <c r="H5" s="90" t="s">
        <v>124</v>
      </c>
      <c r="I5" s="91"/>
      <c r="J5" s="90" t="s">
        <v>124</v>
      </c>
      <c r="K5" s="91"/>
      <c r="L5" s="90" t="s">
        <v>125</v>
      </c>
      <c r="M5" s="91"/>
      <c r="N5" s="84" t="s">
        <v>126</v>
      </c>
      <c r="O5" s="93" t="s">
        <v>127</v>
      </c>
      <c r="P5" s="92"/>
      <c r="Q5" s="90" t="s">
        <v>128</v>
      </c>
      <c r="R5" s="134"/>
      <c r="S5" s="134"/>
      <c r="T5" s="91"/>
      <c r="U5" s="84" t="s">
        <v>129</v>
      </c>
      <c r="V5" s="84" t="s">
        <v>130</v>
      </c>
      <c r="W5" s="84" t="s">
        <v>129</v>
      </c>
      <c r="X5" s="84" t="s">
        <v>129</v>
      </c>
      <c r="Y5" s="300"/>
      <c r="Z5" s="84" t="s">
        <v>131</v>
      </c>
      <c r="AA5" s="301" t="s">
        <v>132</v>
      </c>
      <c r="AB5" s="8" t="s">
        <v>133</v>
      </c>
      <c r="AC5" s="8" t="s">
        <v>134</v>
      </c>
      <c r="AD5" s="8" t="s">
        <v>135</v>
      </c>
      <c r="AE5" s="8" t="s">
        <v>136</v>
      </c>
      <c r="AF5" s="8" t="s">
        <v>137</v>
      </c>
      <c r="AG5" s="8" t="s">
        <v>137</v>
      </c>
      <c r="AH5" s="8" t="s">
        <v>138</v>
      </c>
      <c r="AI5" s="8" t="s">
        <v>139</v>
      </c>
      <c r="AO5" s="4"/>
      <c r="AT5" s="4" t="s">
        <v>140</v>
      </c>
      <c r="AU5" s="4"/>
      <c r="AV5" s="231" t="s">
        <v>141</v>
      </c>
      <c r="AW5" s="231" t="s">
        <v>142</v>
      </c>
      <c r="AX5" s="84" t="s">
        <v>126</v>
      </c>
      <c r="AY5" s="250"/>
      <c r="BB5" s="4"/>
    </row>
    <row r="6" spans="2:54" x14ac:dyDescent="0.2">
      <c r="B6" s="85" t="s">
        <v>143</v>
      </c>
      <c r="C6" s="86" t="s">
        <v>144</v>
      </c>
      <c r="D6" s="87" t="s">
        <v>44</v>
      </c>
      <c r="E6" s="87" t="s">
        <v>145</v>
      </c>
      <c r="F6" s="86" t="s">
        <v>44</v>
      </c>
      <c r="G6" s="86" t="s">
        <v>45</v>
      </c>
      <c r="H6" s="86" t="s">
        <v>44</v>
      </c>
      <c r="I6" s="86" t="s">
        <v>45</v>
      </c>
      <c r="J6" s="86" t="s">
        <v>44</v>
      </c>
      <c r="K6" s="86" t="s">
        <v>45</v>
      </c>
      <c r="L6" s="86" t="s">
        <v>146</v>
      </c>
      <c r="M6" s="86" t="s">
        <v>147</v>
      </c>
      <c r="N6" s="86" t="s">
        <v>148</v>
      </c>
      <c r="O6" s="94" t="s">
        <v>149</v>
      </c>
      <c r="P6" s="95"/>
      <c r="Q6" s="357" t="s">
        <v>150</v>
      </c>
      <c r="R6" s="357" t="s">
        <v>151</v>
      </c>
      <c r="S6" s="357" t="s">
        <v>152</v>
      </c>
      <c r="T6" s="357" t="s">
        <v>153</v>
      </c>
      <c r="U6" s="176" t="s">
        <v>154</v>
      </c>
      <c r="V6" s="86" t="s">
        <v>155</v>
      </c>
      <c r="W6" s="86" t="s">
        <v>156</v>
      </c>
      <c r="X6" s="195" t="s">
        <v>157</v>
      </c>
      <c r="Y6" s="88" t="s">
        <v>131</v>
      </c>
      <c r="Z6" s="86" t="s">
        <v>158</v>
      </c>
      <c r="AA6" s="302" t="s">
        <v>159</v>
      </c>
      <c r="AB6" s="9" t="s">
        <v>160</v>
      </c>
      <c r="AC6" s="9" t="s">
        <v>160</v>
      </c>
      <c r="AD6" s="9" t="s">
        <v>137</v>
      </c>
      <c r="AE6" s="9" t="s">
        <v>161</v>
      </c>
      <c r="AF6" s="9" t="s">
        <v>156</v>
      </c>
      <c r="AG6" s="278" t="s">
        <v>157</v>
      </c>
      <c r="AH6" s="8" t="s">
        <v>137</v>
      </c>
      <c r="AI6" s="8" t="s">
        <v>162</v>
      </c>
      <c r="AJ6" s="56" t="s">
        <v>163</v>
      </c>
      <c r="AK6" s="11" t="s">
        <v>164</v>
      </c>
      <c r="AL6" s="101" t="s">
        <v>165</v>
      </c>
      <c r="AM6" s="10" t="s">
        <v>166</v>
      </c>
      <c r="AN6" s="10" t="s">
        <v>167</v>
      </c>
      <c r="AO6" s="10"/>
      <c r="AP6" s="11" t="s">
        <v>168</v>
      </c>
      <c r="AQ6" s="11" t="s">
        <v>169</v>
      </c>
      <c r="AR6" s="11" t="s">
        <v>170</v>
      </c>
      <c r="AS6" s="11" t="s">
        <v>171</v>
      </c>
      <c r="AT6" s="10" t="s">
        <v>166</v>
      </c>
      <c r="AU6" s="10" t="s">
        <v>172</v>
      </c>
      <c r="AV6" s="232" t="s">
        <v>173</v>
      </c>
      <c r="AW6" s="232" t="s">
        <v>174</v>
      </c>
      <c r="AX6" s="86" t="s">
        <v>148</v>
      </c>
      <c r="AY6" s="251"/>
      <c r="AZ6" s="11"/>
      <c r="BA6" s="11"/>
      <c r="BB6" s="11" t="s">
        <v>175</v>
      </c>
    </row>
    <row r="7" spans="2:54" x14ac:dyDescent="0.2">
      <c r="B7" s="467" t="s">
        <v>182</v>
      </c>
      <c r="C7" s="468" t="s">
        <v>442</v>
      </c>
      <c r="D7" s="469"/>
      <c r="E7" s="469"/>
      <c r="F7" s="470"/>
      <c r="G7" s="470"/>
      <c r="H7" s="470"/>
      <c r="I7" s="470"/>
      <c r="J7" s="470"/>
      <c r="K7" s="470"/>
      <c r="L7" s="471">
        <f t="shared" ref="L7:L28" si="0">(G7-F7)+(I7-H7)+(K7-J7)+AJ7+AO7</f>
        <v>0</v>
      </c>
      <c r="M7" s="471">
        <f>IF(Juin!H47="x",(L7+Juin!M36)+M4,L7+M4)</f>
        <v>0</v>
      </c>
      <c r="N7" s="488">
        <f>IF(Juin!$H$47="x",AV7+Juin!$N$36,AV7)</f>
        <v>0.31666666666666665</v>
      </c>
      <c r="O7" s="483" t="str">
        <f>IF((M7-N7-U$4)&lt;0,"-","+")</f>
        <v>-</v>
      </c>
      <c r="P7" s="473">
        <f>ABS(M7-N7-U$4)</f>
        <v>0.31666666666666665</v>
      </c>
      <c r="Q7" s="474">
        <f>AQ7</f>
        <v>0</v>
      </c>
      <c r="R7" s="474">
        <f>AR7</f>
        <v>0</v>
      </c>
      <c r="S7" s="474">
        <f>AS7</f>
        <v>0</v>
      </c>
      <c r="T7" s="474">
        <f>AP7</f>
        <v>0</v>
      </c>
      <c r="U7" s="471">
        <f>IF($Z$3="x",AD7,)</f>
        <v>0</v>
      </c>
      <c r="V7" s="488">
        <f t="shared" ref="V7" si="1">IF(D7="F",L7,0)</f>
        <v>0</v>
      </c>
      <c r="W7" s="471">
        <f>IF($X$3="x",AF7,)</f>
        <v>0</v>
      </c>
      <c r="X7" s="471">
        <f>IF($X$3="x",AG7,)</f>
        <v>0</v>
      </c>
      <c r="Y7" s="470"/>
      <c r="Z7" s="470"/>
      <c r="AA7" s="469"/>
      <c r="AB7" s="475">
        <f>IF((G7&gt;$AD$3)*AND(F7&lt;=$AD$3),G7-$AD$3,)+IF(F7&gt;$AD$3,G7-F7,)+IF((I7&gt;$AD$3)*AND(H7&lt;=$AD$3),I7-$AD$3,)+IF((H7&gt;$AD$3),I7-H7,)+IF((K7&gt;$AD$3)*AND(J7&lt;=$AD$3),K7-$AD$3,)+IF((J7&gt;$AD$3),K7-J7,)</f>
        <v>0</v>
      </c>
      <c r="AC7" s="475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75">
        <f>AB7+AC7</f>
        <v>0</v>
      </c>
      <c r="AE7" s="475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76">
        <f>AB7-AE7</f>
        <v>0</v>
      </c>
      <c r="AG7" s="475">
        <f>AI7+AE7</f>
        <v>0</v>
      </c>
      <c r="AH7" s="476">
        <f>AD7</f>
        <v>0</v>
      </c>
      <c r="AI7" s="475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77">
        <f>IF((D7&lt;&gt;""),VLOOKUP(D7,Données!$E$36:$H$59,4,FALSE),)</f>
        <v>0</v>
      </c>
      <c r="AK7" s="477">
        <f>IF(V7&gt;0,L7,0)</f>
        <v>0</v>
      </c>
      <c r="AL7" s="478">
        <f>IF(L7&gt;0,D7,0)</f>
        <v>0</v>
      </c>
      <c r="AM7" s="479">
        <f>IF((E7="X")*OR(E7="x"),1,0)</f>
        <v>0</v>
      </c>
      <c r="AN7" s="480">
        <f>IF(D7="F",1,)+IF((D7="JP")*AND(((G7-F7)+(I7-H7)+(K7-J7))&gt;0),1,0)</f>
        <v>0</v>
      </c>
      <c r="AO7" s="477">
        <f>IF((D7="JP")*AND(((G7-F7)+(I7-H7)+(K7-J7))=0),"07:36",0)</f>
        <v>0</v>
      </c>
      <c r="AP7" s="481">
        <f>IF((F7&lt;=$AQ$2)*AND(G7&gt;=$AQ$3),1,)+IF((H7&lt;=$AQ$2)*AND(I7&gt;=$AQ$3),1,)+IF((J7&lt;=$AQ$2)*AND(K7&gt;=$AQ$3),1,)</f>
        <v>0</v>
      </c>
      <c r="AQ7" s="481">
        <f>IF((F7&lt;=$AR$2)*AND(G7&gt;=$AR$3),1,)+IF((H7&lt;=$AR$2)*AND(I7&gt;=$AR$3),1,)+IF((J7&lt;=$AR$2)*AND(K7&gt;=$AR$3),1,)</f>
        <v>0</v>
      </c>
      <c r="AR7" s="481">
        <f>IF((F7&lt;=$AS$2)*AND(G7&gt;=$AS$3),1,)+IF((H7&lt;=$AS$2)*AND(I7&gt;=$AS$3),1,)+IF((J7&lt;=$AS$2)*AND(K7&gt;=$AS$3),1,)</f>
        <v>0</v>
      </c>
      <c r="AS7" s="481">
        <f>IF((F7=$AT$2)*AND(G7&gt;=$AT$3),1,)+IF((H7=$AT$2)*AND(I7&gt;=$AT$3),1,)+IF((J7=$AT$2)*AND(K7&gt;=$AT$3),1,)</f>
        <v>0</v>
      </c>
      <c r="AT7" s="479">
        <f>IF((E7="me")*OR(E7="ME"),1,0)</f>
        <v>0</v>
      </c>
      <c r="AU7" s="479">
        <f>IF((E7="M")*OR(E7="m"),1,0)</f>
        <v>0</v>
      </c>
      <c r="AV7" s="471">
        <f>IF(Données!$H$8="x",AW7,AX7)</f>
        <v>0.31666666666666665</v>
      </c>
      <c r="AW7" s="471">
        <f t="shared" ref="AW7:AW37" si="2">AX7/2</f>
        <v>0.15833333333333333</v>
      </c>
      <c r="AX7" s="471">
        <f>IF(D7="L",AX4,(AX4+"07:36"))</f>
        <v>0.31666666666666665</v>
      </c>
      <c r="AY7" s="467" t="str">
        <f>B7</f>
        <v>Ve</v>
      </c>
      <c r="AZ7" s="478">
        <f>IF((S40="HAU1")*AND(S41&lt;&gt;""),VLOOKUP(S41,Échelle!$Q$5:$R$31,2),)</f>
        <v>0</v>
      </c>
      <c r="BA7" s="479" t="s">
        <v>0</v>
      </c>
      <c r="BB7" s="148"/>
    </row>
    <row r="8" spans="2:54" x14ac:dyDescent="0.2">
      <c r="B8" s="403" t="s">
        <v>184</v>
      </c>
      <c r="C8" s="412" t="s">
        <v>443</v>
      </c>
      <c r="D8" s="411"/>
      <c r="E8" s="411"/>
      <c r="F8" s="401"/>
      <c r="G8" s="401"/>
      <c r="H8" s="401"/>
      <c r="I8" s="401"/>
      <c r="J8" s="513"/>
      <c r="K8" s="513"/>
      <c r="L8" s="402">
        <f>(G8-F8)+(I8-H8)+(K8-J8)</f>
        <v>0</v>
      </c>
      <c r="M8" s="402">
        <f>IF(H1="NIET-GEREGISTREERDE VERSIE","NUL",M7+L8)</f>
        <v>0</v>
      </c>
      <c r="N8" s="407">
        <f>IF(Juin!$H$47="x",AV8+Juin!$N$36,AV8)</f>
        <v>0.31666666666666665</v>
      </c>
      <c r="O8" s="408" t="str">
        <f t="shared" ref="O8:O37" si="3">IF((M8-N8-U$4)&lt;0,"-","+")</f>
        <v>-</v>
      </c>
      <c r="P8" s="413">
        <f t="shared" ref="P8:P37" si="4">ABS(M8-N8-U$4)</f>
        <v>0.31666666666666665</v>
      </c>
      <c r="Q8" s="410">
        <f t="shared" ref="Q8:Q37" si="5">AQ8</f>
        <v>0</v>
      </c>
      <c r="R8" s="410">
        <f t="shared" ref="R8:R37" si="6">AR8</f>
        <v>0</v>
      </c>
      <c r="S8" s="410">
        <f t="shared" ref="S8:S37" si="7">AS8</f>
        <v>0</v>
      </c>
      <c r="T8" s="410">
        <f t="shared" ref="T8:T37" si="8">AP8</f>
        <v>0</v>
      </c>
      <c r="U8" s="402">
        <f t="shared" ref="U8:U37" si="9">IF($Z$3="x",AD8,)</f>
        <v>0</v>
      </c>
      <c r="V8" s="407">
        <f>L8</f>
        <v>0</v>
      </c>
      <c r="W8" s="402">
        <f t="shared" ref="W8:W37" si="10">IF($X$3="x",AF8,)</f>
        <v>0</v>
      </c>
      <c r="X8" s="402">
        <f t="shared" ref="X8:X37" si="11">IF($X$3="x",AG8,)</f>
        <v>0</v>
      </c>
      <c r="Y8" s="401"/>
      <c r="Z8" s="401"/>
      <c r="AA8" s="411"/>
      <c r="AB8" s="420">
        <f>IF((G8&gt;$AD$3)*AND(F8&lt;=$AD$3),G8-$AD$3,)+IF(F8&gt;$AD$3,G8-F8,)+IF((I8&gt;$AD$3)*AND(H8&lt;=$AD$3),I8-$AD$3,)+IF((H8&gt;$AD$3),I8-H8,)+IF((K8&gt;$AD$3)*AND(J8&lt;=$AD$3),K8-$AD$3,)+IF((J8&gt;$AD$3),K8-J8,)</f>
        <v>0</v>
      </c>
      <c r="AC8" s="420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20">
        <f>AB8+AC8</f>
        <v>0</v>
      </c>
      <c r="AE8" s="420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21">
        <f>AB8-AE8</f>
        <v>0</v>
      </c>
      <c r="AG8" s="420">
        <f>AI8+AE8</f>
        <v>0</v>
      </c>
      <c r="AH8" s="421">
        <f>AD8</f>
        <v>0</v>
      </c>
      <c r="AI8" s="420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22">
        <f>IF((D8&lt;&gt;""),VLOOKUP(D8,Données!$E$36:$H$59,4,FALSE),)</f>
        <v>0</v>
      </c>
      <c r="AK8" s="422">
        <f>IF(V8&gt;0,L8,0)</f>
        <v>0</v>
      </c>
      <c r="AL8" s="423">
        <f>IF(L8&gt;0,D8,0)</f>
        <v>0</v>
      </c>
      <c r="AM8" s="424">
        <f>IF((E8="X")*OR(E8="x"),1,0)</f>
        <v>0</v>
      </c>
      <c r="AN8" s="425">
        <f t="shared" ref="AN8:AN37" si="12">IF(D8="F",1,)+IF((D8="JP")*AND(((G8-F8)+(I8-H8)+(K8-J8))&gt;0),1,0)</f>
        <v>0</v>
      </c>
      <c r="AO8" s="422">
        <f t="shared" ref="AO8:AO37" si="13">IF((D8="JP")*AND(((G8-F8)+(I8-H8)+(K8-J8))=0),"07:36",0)</f>
        <v>0</v>
      </c>
      <c r="AP8" s="426">
        <f>IF((F8&lt;=$AQ$2)*AND(G8&gt;=$AQ$3),1,)+IF((H8&lt;=$AQ$2)*AND(I8&gt;=$AQ$3),1,)+IF((J8&lt;=$AQ$2)*AND(K8&gt;=$AQ$3),1,)</f>
        <v>0</v>
      </c>
      <c r="AQ8" s="426">
        <f>IF((F8&lt;=$AR$2)*AND(G8&gt;=$AR$3),1,)+IF((H8&lt;=$AR$2)*AND(I8&gt;=$AR$3),1,)+IF((J8&lt;=$AR$2)*AND(K8&gt;=$AR$3),1,)</f>
        <v>0</v>
      </c>
      <c r="AR8" s="426">
        <f>IF((F8&lt;=$AS$2)*AND(G8&gt;=$AS$3),1,)+IF((H8&lt;=$AS$2)*AND(I8&gt;=$AS$3),1,)+IF((J8&lt;=$AS$2)*AND(K8&gt;=$AS$3),1,)</f>
        <v>0</v>
      </c>
      <c r="AS8" s="426">
        <f>IF((F8=$AT$2)*AND(G8&gt;=$AT$3),1,)+IF((H8=$AT$2)*AND(I8&gt;=$AT$3),1,)+IF((J8=$AT$2)*AND(K8&gt;=$AT$3),1,)</f>
        <v>0</v>
      </c>
      <c r="AT8" s="424">
        <f t="shared" ref="AT8:AT37" si="14">IF((E8="me")*OR(E8="ME"),1,0)</f>
        <v>0</v>
      </c>
      <c r="AU8" s="424">
        <f t="shared" ref="AU8:AU37" si="15">IF((E8="M")*OR(E8="m"),1,0)</f>
        <v>0</v>
      </c>
      <c r="AV8" s="402">
        <f>IF(Données!$H$8="x",AW8,AX8)</f>
        <v>0.31666666666666665</v>
      </c>
      <c r="AW8" s="402">
        <f t="shared" si="2"/>
        <v>0.15833333333333333</v>
      </c>
      <c r="AX8" s="402">
        <f>AX7</f>
        <v>0.31666666666666665</v>
      </c>
      <c r="AY8" s="403" t="str">
        <f t="shared" ref="AY8:AY37" si="16">B8</f>
        <v>Sa</v>
      </c>
      <c r="AZ8" s="423">
        <f>IF((S40="HAU2")*AND(S41&lt;&gt;""),VLOOKUP(S41,Échelle!$T$5:$U$31,2),)</f>
        <v>0</v>
      </c>
      <c r="BA8" s="424" t="s">
        <v>1</v>
      </c>
      <c r="BB8" s="148"/>
    </row>
    <row r="9" spans="2:54" x14ac:dyDescent="0.2">
      <c r="B9" s="403" t="s">
        <v>186</v>
      </c>
      <c r="C9" s="412" t="s">
        <v>444</v>
      </c>
      <c r="D9" s="411"/>
      <c r="E9" s="411"/>
      <c r="F9" s="401"/>
      <c r="G9" s="401"/>
      <c r="H9" s="401"/>
      <c r="I9" s="401"/>
      <c r="J9" s="401"/>
      <c r="K9" s="401"/>
      <c r="L9" s="402">
        <f>(G9-F9)+(I9-H9)+(K9-J9)</f>
        <v>0</v>
      </c>
      <c r="M9" s="402">
        <f t="shared" ref="M9:M37" si="17">M8+L9</f>
        <v>0</v>
      </c>
      <c r="N9" s="407">
        <f>IF(Juin!$H$47="x",AV9+Juin!$N$36,AV9)</f>
        <v>0.31666666666666665</v>
      </c>
      <c r="O9" s="408" t="str">
        <f t="shared" si="3"/>
        <v>-</v>
      </c>
      <c r="P9" s="413">
        <f t="shared" si="4"/>
        <v>0.31666666666666665</v>
      </c>
      <c r="Q9" s="410">
        <f t="shared" si="5"/>
        <v>0</v>
      </c>
      <c r="R9" s="410">
        <f t="shared" si="6"/>
        <v>0</v>
      </c>
      <c r="S9" s="410">
        <f t="shared" si="7"/>
        <v>0</v>
      </c>
      <c r="T9" s="410">
        <f t="shared" si="8"/>
        <v>0</v>
      </c>
      <c r="U9" s="402">
        <f t="shared" si="9"/>
        <v>0</v>
      </c>
      <c r="V9" s="407">
        <f>L9</f>
        <v>0</v>
      </c>
      <c r="W9" s="402">
        <f t="shared" si="10"/>
        <v>0</v>
      </c>
      <c r="X9" s="402">
        <f t="shared" si="11"/>
        <v>0</v>
      </c>
      <c r="Y9" s="401"/>
      <c r="Z9" s="401"/>
      <c r="AA9" s="411"/>
      <c r="AB9" s="420">
        <f t="shared" ref="AB9:AB37" si="18">IF((G9&gt;$AD$3)*AND(F9&lt;=$AD$3),G9-$AD$3,)+IF(F9&gt;$AD$3,G9-F9,)+IF((I9&gt;$AD$3)*AND(H9&lt;=$AD$3),I9-$AD$3,)+IF((H9&gt;$AD$3),I9-H9,)+IF((K9&gt;$AD$3)*AND(J9&lt;=$AD$3),K9-$AD$3,)+IF((J9&gt;$AD$3),K9-J9,)</f>
        <v>0</v>
      </c>
      <c r="AC9" s="420">
        <f t="shared" ref="AC9:AC37" si="19">IF((G9&gt;=$AD$1)*AND(F9&lt;$AD$1),($AD$1)-F9,)+IF((G9&lt;$AD$1),G9-F9,)+IF((I9&gt;=$AD$1)*AND(H9&lt;$AD$1),($AD$1)-H9,)+IF((I9&lt;$AD$1),I9-H9,)+IF((K9&gt;=$AD$1)*AND(J9&lt;$AD$1),($AD$1)-J9,)+IF((K9&lt;$AD$1),K9-J9,)</f>
        <v>0</v>
      </c>
      <c r="AD9" s="420">
        <f t="shared" ref="AD9:AD37" si="20">AB9+AC9</f>
        <v>0</v>
      </c>
      <c r="AE9" s="420">
        <f t="shared" ref="AE9:AE37" si="21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21">
        <f t="shared" ref="AF9:AF37" si="22">AB9-AE9</f>
        <v>0</v>
      </c>
      <c r="AG9" s="420">
        <f t="shared" ref="AG9:AG37" si="23">AI9+AE9</f>
        <v>0</v>
      </c>
      <c r="AH9" s="421">
        <f t="shared" ref="AH9:AH37" si="24">AD9</f>
        <v>0</v>
      </c>
      <c r="AI9" s="420">
        <f t="shared" ref="AI9:AI37" si="25">IF((G9&gt;=$AD$2)*AND(F9&lt;$AD$2),($AD$2)-F9,)+IF((G9&lt;$AD$2),G9-F9,)+IF((I9&gt;=$AD$2)*AND(H9&lt;$AD$2),($AD$2)-H9,)+IF((I9&lt;$AD$2),I9-H9,)+IF((K9&gt;=$AD$2)*AND(J9&lt;$AD$2),($AD$2)-J9,)+IF((K9&lt;$AD$2),K9-J9,)</f>
        <v>0</v>
      </c>
      <c r="AJ9" s="422">
        <f>IF((D9&lt;&gt;""),VLOOKUP(D9,Données!$E$36:$H$59,4,FALSE),)</f>
        <v>0</v>
      </c>
      <c r="AK9" s="422">
        <f>IF(V9&gt;0,L9,0)</f>
        <v>0</v>
      </c>
      <c r="AL9" s="423">
        <f>IF(L9&gt;0,D9,0)</f>
        <v>0</v>
      </c>
      <c r="AM9" s="424">
        <f>IF((E9="X")*OR(E9="x"),1,0)</f>
        <v>0</v>
      </c>
      <c r="AN9" s="425">
        <f t="shared" si="12"/>
        <v>0</v>
      </c>
      <c r="AO9" s="422">
        <f t="shared" si="13"/>
        <v>0</v>
      </c>
      <c r="AP9" s="426">
        <f>IF((F9&lt;=$AQ$2)*AND(G9&gt;=$AQ$3),1,)+IF((H9&lt;=$AQ$2)*AND(I9&gt;=$AQ$3),1,)+IF((J9&lt;=$AQ$2)*AND(K9&gt;=$AQ$3),1,)</f>
        <v>0</v>
      </c>
      <c r="AQ9" s="426">
        <f>IF((F9&lt;=$AR$2)*AND(G9&gt;=$AR$3),1,)+IF((H9&lt;=$AR$2)*AND(I9&gt;=$AR$3),1,)+IF((J9&lt;=$AR$2)*AND(K9&gt;=$AR$3),1,)</f>
        <v>0</v>
      </c>
      <c r="AR9" s="426">
        <f>IF((F9&lt;=$AS$2)*AND(G9&gt;=$AS$3),1,)+IF((H9&lt;=$AS$2)*AND(I9&gt;=$AS$3),1,)+IF((J9&lt;=$AS$2)*AND(K9&gt;=$AS$3),1,)</f>
        <v>0</v>
      </c>
      <c r="AS9" s="426">
        <f>IF((F9=$AT$2)*AND(G9&gt;=$AT$3),1,)+IF((H9=$AT$2)*AND(I9&gt;=$AT$3),1,)+IF((J9=$AT$2)*AND(K9&gt;=$AT$3),1,)</f>
        <v>0</v>
      </c>
      <c r="AT9" s="424">
        <f t="shared" si="14"/>
        <v>0</v>
      </c>
      <c r="AU9" s="424">
        <f t="shared" si="15"/>
        <v>0</v>
      </c>
      <c r="AV9" s="402">
        <f>IF(Données!$H$8="x",AW9,AX9)</f>
        <v>0.31666666666666665</v>
      </c>
      <c r="AW9" s="402">
        <f t="shared" si="2"/>
        <v>0.15833333333333333</v>
      </c>
      <c r="AX9" s="402">
        <f>AX8</f>
        <v>0.31666666666666665</v>
      </c>
      <c r="AY9" s="403" t="str">
        <f t="shared" si="16"/>
        <v>Di</v>
      </c>
      <c r="AZ9" s="423">
        <f>IF((S40="HAU3")*AND(S41&lt;&gt;""),VLOOKUP(S41,Échelle!$W$5:$X$31,2),)</f>
        <v>0</v>
      </c>
      <c r="BA9" s="424" t="s">
        <v>2</v>
      </c>
      <c r="BB9" s="148"/>
    </row>
    <row r="10" spans="2:54" x14ac:dyDescent="0.2">
      <c r="B10" s="467" t="s">
        <v>188</v>
      </c>
      <c r="C10" s="468" t="s">
        <v>445</v>
      </c>
      <c r="D10" s="469"/>
      <c r="E10" s="469"/>
      <c r="F10" s="470"/>
      <c r="G10" s="470"/>
      <c r="H10" s="470"/>
      <c r="I10" s="470"/>
      <c r="J10" s="470"/>
      <c r="K10" s="470"/>
      <c r="L10" s="471">
        <f t="shared" si="0"/>
        <v>0</v>
      </c>
      <c r="M10" s="471">
        <f t="shared" si="17"/>
        <v>0</v>
      </c>
      <c r="N10" s="488">
        <f>IF(Juin!$H$47="x",AV10+Juin!$N$36,AV10)</f>
        <v>0.6333333333333333</v>
      </c>
      <c r="O10" s="483" t="str">
        <f t="shared" si="3"/>
        <v>-</v>
      </c>
      <c r="P10" s="473">
        <f t="shared" si="4"/>
        <v>0.6333333333333333</v>
      </c>
      <c r="Q10" s="474">
        <f t="shared" si="5"/>
        <v>0</v>
      </c>
      <c r="R10" s="474">
        <f t="shared" si="6"/>
        <v>0</v>
      </c>
      <c r="S10" s="474">
        <f t="shared" si="7"/>
        <v>0</v>
      </c>
      <c r="T10" s="474">
        <f t="shared" si="8"/>
        <v>0</v>
      </c>
      <c r="U10" s="471">
        <f t="shared" si="9"/>
        <v>0</v>
      </c>
      <c r="V10" s="488">
        <f t="shared" ref="V10:V14" si="26">IF(D10="F",L10,0)</f>
        <v>0</v>
      </c>
      <c r="W10" s="471">
        <f t="shared" si="10"/>
        <v>0</v>
      </c>
      <c r="X10" s="471">
        <f t="shared" si="11"/>
        <v>0</v>
      </c>
      <c r="Y10" s="470"/>
      <c r="Z10" s="470"/>
      <c r="AA10" s="469"/>
      <c r="AB10" s="475">
        <f t="shared" si="18"/>
        <v>0</v>
      </c>
      <c r="AC10" s="475">
        <f t="shared" si="19"/>
        <v>0</v>
      </c>
      <c r="AD10" s="475">
        <f t="shared" si="20"/>
        <v>0</v>
      </c>
      <c r="AE10" s="475">
        <f t="shared" si="21"/>
        <v>0</v>
      </c>
      <c r="AF10" s="476">
        <f t="shared" si="22"/>
        <v>0</v>
      </c>
      <c r="AG10" s="475">
        <f t="shared" si="23"/>
        <v>0</v>
      </c>
      <c r="AH10" s="476">
        <f t="shared" si="24"/>
        <v>0</v>
      </c>
      <c r="AI10" s="475">
        <f t="shared" si="25"/>
        <v>0</v>
      </c>
      <c r="AJ10" s="477">
        <f>IF((D10&lt;&gt;""),VLOOKUP(D10,Données!$E$36:$H$59,4,FALSE),)</f>
        <v>0</v>
      </c>
      <c r="AK10" s="477">
        <f t="shared" ref="AK10:AK37" si="27">IF(V10&gt;0,L10,0)</f>
        <v>0</v>
      </c>
      <c r="AL10" s="478">
        <f t="shared" ref="AL10:AL37" si="28">IF(L10&gt;0,D10,0)</f>
        <v>0</v>
      </c>
      <c r="AM10" s="479">
        <f t="shared" ref="AM10:AM37" si="29">IF((E10="X")*OR(E10="x"),1,0)</f>
        <v>0</v>
      </c>
      <c r="AN10" s="480">
        <f t="shared" si="12"/>
        <v>0</v>
      </c>
      <c r="AO10" s="477">
        <f t="shared" si="13"/>
        <v>0</v>
      </c>
      <c r="AP10" s="481">
        <f t="shared" ref="AP10:AP37" si="30">IF((F10&lt;=$AQ$2)*AND(G10&gt;=$AQ$3),1,)+IF((H10&lt;=$AQ$2)*AND(I10&gt;=$AQ$3),1,)+IF((J10&lt;=$AQ$2)*AND(K10&gt;=$AQ$3),1,)</f>
        <v>0</v>
      </c>
      <c r="AQ10" s="481">
        <f t="shared" ref="AQ10:AQ37" si="31">IF((F10&lt;=$AR$2)*AND(G10&gt;=$AR$3),1,)+IF((H10&lt;=$AR$2)*AND(I10&gt;=$AR$3),1,)+IF((J10&lt;=$AR$2)*AND(K10&gt;=$AR$3),1,)</f>
        <v>0</v>
      </c>
      <c r="AR10" s="481">
        <f t="shared" ref="AR10:AR37" si="32">IF((F10&lt;=$AS$2)*AND(G10&gt;=$AS$3),1,)+IF((H10&lt;=$AS$2)*AND(I10&gt;=$AS$3),1,)+IF((J10&lt;=$AS$2)*AND(K10&gt;=$AS$3),1,)</f>
        <v>0</v>
      </c>
      <c r="AS10" s="481">
        <f t="shared" ref="AS10:AS37" si="33">IF((F10=$AT$2)*AND(G10&gt;=$AT$3),1,)+IF((H10=$AT$2)*AND(I10&gt;=$AT$3),1,)+IF((J10=$AT$2)*AND(K10&gt;=$AT$3),1,)</f>
        <v>0</v>
      </c>
      <c r="AT10" s="479">
        <f t="shared" si="14"/>
        <v>0</v>
      </c>
      <c r="AU10" s="479">
        <f t="shared" si="15"/>
        <v>0</v>
      </c>
      <c r="AV10" s="471">
        <f>IF(Données!$H$8="x",AW10,AX10)</f>
        <v>0.6333333333333333</v>
      </c>
      <c r="AW10" s="471">
        <f t="shared" si="2"/>
        <v>0.31666666666666665</v>
      </c>
      <c r="AX10" s="471">
        <f t="shared" ref="AX10:AX14" si="34">IF(D10="L",AX9,(AX9+"07:36"))</f>
        <v>0.6333333333333333</v>
      </c>
      <c r="AY10" s="467" t="str">
        <f t="shared" si="16"/>
        <v>Lu</v>
      </c>
      <c r="AZ10" s="478">
        <f>IF((S40="B1")*AND(S41&lt;&gt;""),VLOOKUP(S41,Échelle!$Z$5:$AA$31,2),)</f>
        <v>0</v>
      </c>
      <c r="BA10" s="479" t="s">
        <v>3</v>
      </c>
      <c r="BB10" s="148"/>
    </row>
    <row r="11" spans="2:54" x14ac:dyDescent="0.2">
      <c r="B11" s="467" t="s">
        <v>176</v>
      </c>
      <c r="C11" s="468" t="s">
        <v>446</v>
      </c>
      <c r="D11" s="469"/>
      <c r="E11" s="469"/>
      <c r="F11" s="470"/>
      <c r="G11" s="470"/>
      <c r="H11" s="470"/>
      <c r="I11" s="470"/>
      <c r="J11" s="470"/>
      <c r="K11" s="470"/>
      <c r="L11" s="471">
        <f t="shared" si="0"/>
        <v>0</v>
      </c>
      <c r="M11" s="471">
        <f t="shared" si="17"/>
        <v>0</v>
      </c>
      <c r="N11" s="488">
        <f>IF(Juin!$H$47="x",AV11+Juin!$N$36,AV11)</f>
        <v>0.95</v>
      </c>
      <c r="O11" s="483" t="str">
        <f t="shared" si="3"/>
        <v>-</v>
      </c>
      <c r="P11" s="473">
        <f t="shared" si="4"/>
        <v>0.95</v>
      </c>
      <c r="Q11" s="474">
        <f t="shared" si="5"/>
        <v>0</v>
      </c>
      <c r="R11" s="474">
        <f t="shared" si="6"/>
        <v>0</v>
      </c>
      <c r="S11" s="474">
        <f t="shared" si="7"/>
        <v>0</v>
      </c>
      <c r="T11" s="474">
        <f t="shared" si="8"/>
        <v>0</v>
      </c>
      <c r="U11" s="471">
        <f t="shared" si="9"/>
        <v>0</v>
      </c>
      <c r="V11" s="488">
        <f t="shared" si="26"/>
        <v>0</v>
      </c>
      <c r="W11" s="471">
        <f t="shared" si="10"/>
        <v>0</v>
      </c>
      <c r="X11" s="471">
        <f t="shared" si="11"/>
        <v>0</v>
      </c>
      <c r="Y11" s="470"/>
      <c r="Z11" s="470"/>
      <c r="AA11" s="469"/>
      <c r="AB11" s="475">
        <f t="shared" si="18"/>
        <v>0</v>
      </c>
      <c r="AC11" s="475">
        <f t="shared" si="19"/>
        <v>0</v>
      </c>
      <c r="AD11" s="475">
        <f t="shared" si="20"/>
        <v>0</v>
      </c>
      <c r="AE11" s="475">
        <f t="shared" si="21"/>
        <v>0</v>
      </c>
      <c r="AF11" s="476">
        <f t="shared" si="22"/>
        <v>0</v>
      </c>
      <c r="AG11" s="475">
        <f t="shared" si="23"/>
        <v>0</v>
      </c>
      <c r="AH11" s="476">
        <f t="shared" si="24"/>
        <v>0</v>
      </c>
      <c r="AI11" s="475">
        <f t="shared" si="25"/>
        <v>0</v>
      </c>
      <c r="AJ11" s="477">
        <f>IF((D11&lt;&gt;""),VLOOKUP(D11,Données!$E$36:$H$59,4,FALSE),)</f>
        <v>0</v>
      </c>
      <c r="AK11" s="477">
        <f t="shared" si="27"/>
        <v>0</v>
      </c>
      <c r="AL11" s="478">
        <f t="shared" si="28"/>
        <v>0</v>
      </c>
      <c r="AM11" s="479">
        <f t="shared" si="29"/>
        <v>0</v>
      </c>
      <c r="AN11" s="480">
        <f t="shared" si="12"/>
        <v>0</v>
      </c>
      <c r="AO11" s="477">
        <f t="shared" si="13"/>
        <v>0</v>
      </c>
      <c r="AP11" s="481">
        <f t="shared" si="30"/>
        <v>0</v>
      </c>
      <c r="AQ11" s="481">
        <f t="shared" si="31"/>
        <v>0</v>
      </c>
      <c r="AR11" s="481">
        <f t="shared" si="32"/>
        <v>0</v>
      </c>
      <c r="AS11" s="481">
        <f t="shared" si="33"/>
        <v>0</v>
      </c>
      <c r="AT11" s="479">
        <f t="shared" si="14"/>
        <v>0</v>
      </c>
      <c r="AU11" s="479">
        <f t="shared" si="15"/>
        <v>0</v>
      </c>
      <c r="AV11" s="471">
        <f>IF(Données!$H$8="x",AW11,AX11)</f>
        <v>0.95</v>
      </c>
      <c r="AW11" s="471">
        <f t="shared" si="2"/>
        <v>0.47499999999999998</v>
      </c>
      <c r="AX11" s="471">
        <f t="shared" si="34"/>
        <v>0.95</v>
      </c>
      <c r="AY11" s="467" t="str">
        <f t="shared" si="16"/>
        <v>Ma</v>
      </c>
      <c r="AZ11" s="478">
        <f>IF((S40="B2")*AND(S41&lt;&gt;""),VLOOKUP(S41,Échelle!$AC$5:$AD$31,2),)</f>
        <v>0</v>
      </c>
      <c r="BA11" s="479" t="s">
        <v>4</v>
      </c>
      <c r="BB11" s="148"/>
    </row>
    <row r="12" spans="2:54" x14ac:dyDescent="0.2">
      <c r="B12" s="467" t="s">
        <v>178</v>
      </c>
      <c r="C12" s="468" t="s">
        <v>447</v>
      </c>
      <c r="D12" s="469"/>
      <c r="E12" s="469"/>
      <c r="F12" s="470"/>
      <c r="G12" s="470"/>
      <c r="H12" s="470"/>
      <c r="I12" s="470"/>
      <c r="J12" s="470"/>
      <c r="K12" s="470"/>
      <c r="L12" s="471">
        <f t="shared" si="0"/>
        <v>0</v>
      </c>
      <c r="M12" s="471">
        <f t="shared" si="17"/>
        <v>0</v>
      </c>
      <c r="N12" s="488">
        <f>IF(Juin!$H$47="x",AV12+Juin!$N$36,AV12)</f>
        <v>1.2666666666666666</v>
      </c>
      <c r="O12" s="483" t="str">
        <f t="shared" si="3"/>
        <v>-</v>
      </c>
      <c r="P12" s="473">
        <f t="shared" si="4"/>
        <v>1.2666666666666666</v>
      </c>
      <c r="Q12" s="474">
        <f t="shared" si="5"/>
        <v>0</v>
      </c>
      <c r="R12" s="474">
        <f t="shared" si="6"/>
        <v>0</v>
      </c>
      <c r="S12" s="474">
        <f t="shared" si="7"/>
        <v>0</v>
      </c>
      <c r="T12" s="474">
        <f t="shared" si="8"/>
        <v>0</v>
      </c>
      <c r="U12" s="471">
        <f t="shared" si="9"/>
        <v>0</v>
      </c>
      <c r="V12" s="488">
        <f t="shared" si="26"/>
        <v>0</v>
      </c>
      <c r="W12" s="471">
        <f t="shared" si="10"/>
        <v>0</v>
      </c>
      <c r="X12" s="471">
        <f t="shared" si="11"/>
        <v>0</v>
      </c>
      <c r="Y12" s="470"/>
      <c r="Z12" s="470"/>
      <c r="AA12" s="469"/>
      <c r="AB12" s="475">
        <f t="shared" si="18"/>
        <v>0</v>
      </c>
      <c r="AC12" s="475">
        <f t="shared" si="19"/>
        <v>0</v>
      </c>
      <c r="AD12" s="475">
        <f t="shared" si="20"/>
        <v>0</v>
      </c>
      <c r="AE12" s="475">
        <f t="shared" si="21"/>
        <v>0</v>
      </c>
      <c r="AF12" s="476">
        <f t="shared" si="22"/>
        <v>0</v>
      </c>
      <c r="AG12" s="475">
        <f t="shared" si="23"/>
        <v>0</v>
      </c>
      <c r="AH12" s="476">
        <f t="shared" si="24"/>
        <v>0</v>
      </c>
      <c r="AI12" s="475">
        <f t="shared" si="25"/>
        <v>0</v>
      </c>
      <c r="AJ12" s="477">
        <f>IF((D12&lt;&gt;""),VLOOKUP(D12,Données!$E$36:$H$59,4,FALSE),)</f>
        <v>0</v>
      </c>
      <c r="AK12" s="477">
        <f t="shared" si="27"/>
        <v>0</v>
      </c>
      <c r="AL12" s="478">
        <f t="shared" si="28"/>
        <v>0</v>
      </c>
      <c r="AM12" s="479">
        <f t="shared" si="29"/>
        <v>0</v>
      </c>
      <c r="AN12" s="480">
        <f t="shared" si="12"/>
        <v>0</v>
      </c>
      <c r="AO12" s="477">
        <f t="shared" si="13"/>
        <v>0</v>
      </c>
      <c r="AP12" s="481">
        <f t="shared" si="30"/>
        <v>0</v>
      </c>
      <c r="AQ12" s="481">
        <f t="shared" si="31"/>
        <v>0</v>
      </c>
      <c r="AR12" s="481">
        <f t="shared" si="32"/>
        <v>0</v>
      </c>
      <c r="AS12" s="481">
        <f t="shared" si="33"/>
        <v>0</v>
      </c>
      <c r="AT12" s="479">
        <f t="shared" si="14"/>
        <v>0</v>
      </c>
      <c r="AU12" s="479">
        <f t="shared" si="15"/>
        <v>0</v>
      </c>
      <c r="AV12" s="471">
        <f>IF(Données!$H$8="x",AW12,AX12)</f>
        <v>1.2666666666666666</v>
      </c>
      <c r="AW12" s="471">
        <f t="shared" si="2"/>
        <v>0.6333333333333333</v>
      </c>
      <c r="AX12" s="471">
        <f t="shared" si="34"/>
        <v>1.2666666666666666</v>
      </c>
      <c r="AY12" s="467" t="str">
        <f t="shared" si="16"/>
        <v>Me</v>
      </c>
      <c r="AZ12" s="478">
        <f>IF((S40="B3")*AND(S41&lt;&gt;""),VLOOKUP(S41,Échelle!$AF$5:$AG$31,2),)</f>
        <v>0</v>
      </c>
      <c r="BA12" s="479" t="s">
        <v>5</v>
      </c>
      <c r="BB12" s="148"/>
    </row>
    <row r="13" spans="2:54" x14ac:dyDescent="0.2">
      <c r="B13" s="467" t="s">
        <v>180</v>
      </c>
      <c r="C13" s="468" t="s">
        <v>448</v>
      </c>
      <c r="D13" s="469"/>
      <c r="E13" s="469"/>
      <c r="F13" s="470"/>
      <c r="G13" s="470"/>
      <c r="H13" s="470"/>
      <c r="I13" s="470"/>
      <c r="J13" s="470"/>
      <c r="K13" s="470"/>
      <c r="L13" s="471">
        <f t="shared" si="0"/>
        <v>0</v>
      </c>
      <c r="M13" s="471">
        <f t="shared" si="17"/>
        <v>0</v>
      </c>
      <c r="N13" s="488">
        <f>IF(Juin!$H$47="x",AV13+Juin!$N$36,AV13)</f>
        <v>1.5833333333333333</v>
      </c>
      <c r="O13" s="483" t="str">
        <f t="shared" si="3"/>
        <v>-</v>
      </c>
      <c r="P13" s="473">
        <f t="shared" si="4"/>
        <v>1.5833333333333333</v>
      </c>
      <c r="Q13" s="474">
        <f t="shared" si="5"/>
        <v>0</v>
      </c>
      <c r="R13" s="474">
        <f t="shared" si="6"/>
        <v>0</v>
      </c>
      <c r="S13" s="474">
        <f t="shared" si="7"/>
        <v>0</v>
      </c>
      <c r="T13" s="474">
        <f t="shared" si="8"/>
        <v>0</v>
      </c>
      <c r="U13" s="471">
        <f t="shared" si="9"/>
        <v>0</v>
      </c>
      <c r="V13" s="488">
        <f t="shared" si="26"/>
        <v>0</v>
      </c>
      <c r="W13" s="471">
        <f t="shared" si="10"/>
        <v>0</v>
      </c>
      <c r="X13" s="471">
        <f t="shared" si="11"/>
        <v>0</v>
      </c>
      <c r="Y13" s="470"/>
      <c r="Z13" s="470"/>
      <c r="AA13" s="469"/>
      <c r="AB13" s="475">
        <f t="shared" si="18"/>
        <v>0</v>
      </c>
      <c r="AC13" s="475">
        <f t="shared" si="19"/>
        <v>0</v>
      </c>
      <c r="AD13" s="475">
        <f t="shared" si="20"/>
        <v>0</v>
      </c>
      <c r="AE13" s="475">
        <f t="shared" si="21"/>
        <v>0</v>
      </c>
      <c r="AF13" s="476">
        <f t="shared" si="22"/>
        <v>0</v>
      </c>
      <c r="AG13" s="475">
        <f t="shared" si="23"/>
        <v>0</v>
      </c>
      <c r="AH13" s="476">
        <f t="shared" si="24"/>
        <v>0</v>
      </c>
      <c r="AI13" s="475">
        <f t="shared" si="25"/>
        <v>0</v>
      </c>
      <c r="AJ13" s="477">
        <f>IF((D13&lt;&gt;""),VLOOKUP(D13,Données!$E$36:$H$59,4,FALSE),)</f>
        <v>0</v>
      </c>
      <c r="AK13" s="477">
        <f t="shared" si="27"/>
        <v>0</v>
      </c>
      <c r="AL13" s="478">
        <f t="shared" si="28"/>
        <v>0</v>
      </c>
      <c r="AM13" s="479">
        <f t="shared" si="29"/>
        <v>0</v>
      </c>
      <c r="AN13" s="480">
        <f t="shared" si="12"/>
        <v>0</v>
      </c>
      <c r="AO13" s="477">
        <f t="shared" si="13"/>
        <v>0</v>
      </c>
      <c r="AP13" s="481">
        <f t="shared" si="30"/>
        <v>0</v>
      </c>
      <c r="AQ13" s="481">
        <f t="shared" si="31"/>
        <v>0</v>
      </c>
      <c r="AR13" s="481">
        <f t="shared" si="32"/>
        <v>0</v>
      </c>
      <c r="AS13" s="481">
        <f t="shared" si="33"/>
        <v>0</v>
      </c>
      <c r="AT13" s="479">
        <f t="shared" si="14"/>
        <v>0</v>
      </c>
      <c r="AU13" s="479">
        <f t="shared" si="15"/>
        <v>0</v>
      </c>
      <c r="AV13" s="471">
        <f>IF(Données!$H$8="x",AW13,AX13)</f>
        <v>1.5833333333333333</v>
      </c>
      <c r="AW13" s="471">
        <f t="shared" si="2"/>
        <v>0.79166666666666663</v>
      </c>
      <c r="AX13" s="471">
        <f t="shared" si="34"/>
        <v>1.5833333333333333</v>
      </c>
      <c r="AY13" s="467" t="str">
        <f t="shared" si="16"/>
        <v>Je</v>
      </c>
      <c r="AZ13" s="478">
        <f>IF((S40="B4")*AND(S41&lt;&gt;""),VLOOKUP(S41,Échelle!AI$5:AJ$34,2),)</f>
        <v>0</v>
      </c>
      <c r="BA13" s="479" t="s">
        <v>6</v>
      </c>
      <c r="BB13" s="148"/>
    </row>
    <row r="14" spans="2:54" x14ac:dyDescent="0.2">
      <c r="B14" s="467" t="s">
        <v>182</v>
      </c>
      <c r="C14" s="468" t="s">
        <v>449</v>
      </c>
      <c r="D14" s="469"/>
      <c r="E14" s="469"/>
      <c r="F14" s="470"/>
      <c r="G14" s="470"/>
      <c r="H14" s="470"/>
      <c r="I14" s="470"/>
      <c r="J14" s="470"/>
      <c r="K14" s="470"/>
      <c r="L14" s="471">
        <f t="shared" si="0"/>
        <v>0</v>
      </c>
      <c r="M14" s="471">
        <f>M13+L14</f>
        <v>0</v>
      </c>
      <c r="N14" s="488">
        <f>IF(Juin!$H$47="x",AV14+Juin!$N$36,AV14)</f>
        <v>1.9</v>
      </c>
      <c r="O14" s="483" t="str">
        <f t="shared" si="3"/>
        <v>-</v>
      </c>
      <c r="P14" s="473">
        <f t="shared" si="4"/>
        <v>1.9</v>
      </c>
      <c r="Q14" s="474">
        <f t="shared" si="5"/>
        <v>0</v>
      </c>
      <c r="R14" s="474">
        <f t="shared" si="6"/>
        <v>0</v>
      </c>
      <c r="S14" s="474">
        <f t="shared" si="7"/>
        <v>0</v>
      </c>
      <c r="T14" s="474">
        <f t="shared" si="8"/>
        <v>0</v>
      </c>
      <c r="U14" s="471">
        <f t="shared" si="9"/>
        <v>0</v>
      </c>
      <c r="V14" s="488">
        <f t="shared" si="26"/>
        <v>0</v>
      </c>
      <c r="W14" s="471">
        <f t="shared" si="10"/>
        <v>0</v>
      </c>
      <c r="X14" s="471">
        <f t="shared" si="11"/>
        <v>0</v>
      </c>
      <c r="Y14" s="470"/>
      <c r="Z14" s="470"/>
      <c r="AA14" s="469"/>
      <c r="AB14" s="475">
        <f t="shared" si="18"/>
        <v>0</v>
      </c>
      <c r="AC14" s="475">
        <f t="shared" si="19"/>
        <v>0</v>
      </c>
      <c r="AD14" s="475">
        <f t="shared" si="20"/>
        <v>0</v>
      </c>
      <c r="AE14" s="475">
        <f t="shared" si="21"/>
        <v>0</v>
      </c>
      <c r="AF14" s="476">
        <f t="shared" si="22"/>
        <v>0</v>
      </c>
      <c r="AG14" s="475">
        <f t="shared" si="23"/>
        <v>0</v>
      </c>
      <c r="AH14" s="476">
        <f t="shared" si="24"/>
        <v>0</v>
      </c>
      <c r="AI14" s="475">
        <f t="shared" si="25"/>
        <v>0</v>
      </c>
      <c r="AJ14" s="477">
        <f>IF((D14&lt;&gt;""),VLOOKUP(D14,Données!$E$36:$H$59,4,FALSE),)</f>
        <v>0</v>
      </c>
      <c r="AK14" s="477">
        <f t="shared" si="27"/>
        <v>0</v>
      </c>
      <c r="AL14" s="478">
        <f t="shared" si="28"/>
        <v>0</v>
      </c>
      <c r="AM14" s="479">
        <f t="shared" si="29"/>
        <v>0</v>
      </c>
      <c r="AN14" s="480">
        <f t="shared" si="12"/>
        <v>0</v>
      </c>
      <c r="AO14" s="477">
        <f t="shared" si="13"/>
        <v>0</v>
      </c>
      <c r="AP14" s="481">
        <f t="shared" si="30"/>
        <v>0</v>
      </c>
      <c r="AQ14" s="481">
        <f t="shared" si="31"/>
        <v>0</v>
      </c>
      <c r="AR14" s="481">
        <f t="shared" si="32"/>
        <v>0</v>
      </c>
      <c r="AS14" s="481">
        <f t="shared" si="33"/>
        <v>0</v>
      </c>
      <c r="AT14" s="479">
        <f t="shared" si="14"/>
        <v>0</v>
      </c>
      <c r="AU14" s="479">
        <f t="shared" si="15"/>
        <v>0</v>
      </c>
      <c r="AV14" s="471">
        <f>IF(Données!$H$8="x",AW14,AX14)</f>
        <v>1.9</v>
      </c>
      <c r="AW14" s="471">
        <f t="shared" si="2"/>
        <v>0.95</v>
      </c>
      <c r="AX14" s="471">
        <f t="shared" si="34"/>
        <v>1.9</v>
      </c>
      <c r="AY14" s="467" t="str">
        <f t="shared" si="16"/>
        <v>Ve</v>
      </c>
      <c r="AZ14" s="478">
        <f>IF((S40="B5")*AND(S41&lt;&gt;""),VLOOKUP(S41,Échelle!AL$5:AM$34,2),)</f>
        <v>0</v>
      </c>
      <c r="BA14" s="479" t="s">
        <v>7</v>
      </c>
      <c r="BB14" s="148"/>
    </row>
    <row r="15" spans="2:54" x14ac:dyDescent="0.2">
      <c r="B15" s="403" t="s">
        <v>184</v>
      </c>
      <c r="C15" s="412" t="s">
        <v>450</v>
      </c>
      <c r="D15" s="411"/>
      <c r="E15" s="411"/>
      <c r="F15" s="401"/>
      <c r="G15" s="401"/>
      <c r="H15" s="401"/>
      <c r="I15" s="401"/>
      <c r="J15" s="513"/>
      <c r="K15" s="513"/>
      <c r="L15" s="402">
        <f>(G15-F15)+(I15-H15)+(K15-J15)</f>
        <v>0</v>
      </c>
      <c r="M15" s="402">
        <f>M14+L15</f>
        <v>0</v>
      </c>
      <c r="N15" s="407">
        <f>IF(Juin!$H$47="x",AV15+Juin!$N$36,AV15)</f>
        <v>1.9</v>
      </c>
      <c r="O15" s="408" t="str">
        <f t="shared" si="3"/>
        <v>-</v>
      </c>
      <c r="P15" s="413">
        <f t="shared" si="4"/>
        <v>1.9</v>
      </c>
      <c r="Q15" s="410">
        <f t="shared" si="5"/>
        <v>0</v>
      </c>
      <c r="R15" s="410">
        <f t="shared" si="6"/>
        <v>0</v>
      </c>
      <c r="S15" s="410">
        <f t="shared" si="7"/>
        <v>0</v>
      </c>
      <c r="T15" s="410">
        <f t="shared" si="8"/>
        <v>0</v>
      </c>
      <c r="U15" s="402">
        <f t="shared" si="9"/>
        <v>0</v>
      </c>
      <c r="V15" s="407">
        <f>L15</f>
        <v>0</v>
      </c>
      <c r="W15" s="402">
        <f t="shared" si="10"/>
        <v>0</v>
      </c>
      <c r="X15" s="402">
        <f t="shared" si="11"/>
        <v>0</v>
      </c>
      <c r="Y15" s="401"/>
      <c r="Z15" s="401"/>
      <c r="AA15" s="411"/>
      <c r="AB15" s="420">
        <f t="shared" si="18"/>
        <v>0</v>
      </c>
      <c r="AC15" s="420">
        <f t="shared" si="19"/>
        <v>0</v>
      </c>
      <c r="AD15" s="420">
        <f t="shared" si="20"/>
        <v>0</v>
      </c>
      <c r="AE15" s="420">
        <f t="shared" si="21"/>
        <v>0</v>
      </c>
      <c r="AF15" s="421">
        <f t="shared" si="22"/>
        <v>0</v>
      </c>
      <c r="AG15" s="420">
        <f t="shared" si="23"/>
        <v>0</v>
      </c>
      <c r="AH15" s="421">
        <f t="shared" si="24"/>
        <v>0</v>
      </c>
      <c r="AI15" s="420">
        <f t="shared" si="25"/>
        <v>0</v>
      </c>
      <c r="AJ15" s="422">
        <f>IF((D15&lt;&gt;""),VLOOKUP(D15,Données!$E$36:$H$59,4,FALSE),)</f>
        <v>0</v>
      </c>
      <c r="AK15" s="422">
        <f t="shared" si="27"/>
        <v>0</v>
      </c>
      <c r="AL15" s="423">
        <f t="shared" si="28"/>
        <v>0</v>
      </c>
      <c r="AM15" s="424">
        <f t="shared" si="29"/>
        <v>0</v>
      </c>
      <c r="AN15" s="425">
        <f t="shared" si="12"/>
        <v>0</v>
      </c>
      <c r="AO15" s="422">
        <f t="shared" si="13"/>
        <v>0</v>
      </c>
      <c r="AP15" s="426">
        <f t="shared" si="30"/>
        <v>0</v>
      </c>
      <c r="AQ15" s="426">
        <f t="shared" si="31"/>
        <v>0</v>
      </c>
      <c r="AR15" s="426">
        <f t="shared" si="32"/>
        <v>0</v>
      </c>
      <c r="AS15" s="426">
        <f t="shared" si="33"/>
        <v>0</v>
      </c>
      <c r="AT15" s="424">
        <f t="shared" si="14"/>
        <v>0</v>
      </c>
      <c r="AU15" s="424">
        <f t="shared" si="15"/>
        <v>0</v>
      </c>
      <c r="AV15" s="402">
        <f>IF(Données!$H$8="x",AW15,AX15)</f>
        <v>1.9</v>
      </c>
      <c r="AW15" s="402">
        <f t="shared" si="2"/>
        <v>0.95</v>
      </c>
      <c r="AX15" s="402">
        <f>AX14</f>
        <v>1.9</v>
      </c>
      <c r="AY15" s="403" t="str">
        <f t="shared" si="16"/>
        <v>Sa</v>
      </c>
      <c r="AZ15" s="423">
        <f>IF((S40="M1.1")*AND(S41&lt;&gt;""),VLOOKUP(S41,Échelle!$AO$5:$AP$31,2),)</f>
        <v>0</v>
      </c>
      <c r="BA15" s="424" t="s">
        <v>8</v>
      </c>
      <c r="BB15" s="148"/>
    </row>
    <row r="16" spans="2:54" x14ac:dyDescent="0.2">
      <c r="B16" s="403" t="s">
        <v>186</v>
      </c>
      <c r="C16" s="412" t="s">
        <v>451</v>
      </c>
      <c r="D16" s="411"/>
      <c r="E16" s="411"/>
      <c r="F16" s="401"/>
      <c r="G16" s="401"/>
      <c r="H16" s="401"/>
      <c r="I16" s="401"/>
      <c r="J16" s="401"/>
      <c r="K16" s="401"/>
      <c r="L16" s="402">
        <f>(G16-F16)+(I16-H16)+(K16-J16)</f>
        <v>0</v>
      </c>
      <c r="M16" s="402">
        <f t="shared" si="17"/>
        <v>0</v>
      </c>
      <c r="N16" s="407">
        <f>IF(Juin!$H$47="x",AV16+Juin!$N$36,AV16)</f>
        <v>1.9</v>
      </c>
      <c r="O16" s="408" t="str">
        <f t="shared" si="3"/>
        <v>-</v>
      </c>
      <c r="P16" s="413">
        <f t="shared" si="4"/>
        <v>1.9</v>
      </c>
      <c r="Q16" s="410">
        <f t="shared" si="5"/>
        <v>0</v>
      </c>
      <c r="R16" s="410">
        <f t="shared" si="6"/>
        <v>0</v>
      </c>
      <c r="S16" s="410">
        <f t="shared" si="7"/>
        <v>0</v>
      </c>
      <c r="T16" s="410">
        <f t="shared" si="8"/>
        <v>0</v>
      </c>
      <c r="U16" s="402">
        <f t="shared" si="9"/>
        <v>0</v>
      </c>
      <c r="V16" s="407">
        <f>L16</f>
        <v>0</v>
      </c>
      <c r="W16" s="402">
        <f t="shared" si="10"/>
        <v>0</v>
      </c>
      <c r="X16" s="402">
        <f t="shared" si="11"/>
        <v>0</v>
      </c>
      <c r="Y16" s="401"/>
      <c r="Z16" s="401"/>
      <c r="AA16" s="411"/>
      <c r="AB16" s="420">
        <f t="shared" si="18"/>
        <v>0</v>
      </c>
      <c r="AC16" s="420">
        <f t="shared" si="19"/>
        <v>0</v>
      </c>
      <c r="AD16" s="420">
        <f t="shared" si="20"/>
        <v>0</v>
      </c>
      <c r="AE16" s="420">
        <f t="shared" si="21"/>
        <v>0</v>
      </c>
      <c r="AF16" s="421">
        <f t="shared" si="22"/>
        <v>0</v>
      </c>
      <c r="AG16" s="420">
        <f t="shared" si="23"/>
        <v>0</v>
      </c>
      <c r="AH16" s="421">
        <f t="shared" si="24"/>
        <v>0</v>
      </c>
      <c r="AI16" s="420">
        <f t="shared" si="25"/>
        <v>0</v>
      </c>
      <c r="AJ16" s="422">
        <f>IF((D16&lt;&gt;""),VLOOKUP(D16,Données!$E$36:$H$59,4,FALSE),)</f>
        <v>0</v>
      </c>
      <c r="AK16" s="422">
        <f t="shared" si="27"/>
        <v>0</v>
      </c>
      <c r="AL16" s="423">
        <f t="shared" si="28"/>
        <v>0</v>
      </c>
      <c r="AM16" s="424">
        <f t="shared" si="29"/>
        <v>0</v>
      </c>
      <c r="AN16" s="425">
        <f t="shared" si="12"/>
        <v>0</v>
      </c>
      <c r="AO16" s="422">
        <f t="shared" si="13"/>
        <v>0</v>
      </c>
      <c r="AP16" s="426">
        <f t="shared" si="30"/>
        <v>0</v>
      </c>
      <c r="AQ16" s="426">
        <f t="shared" si="31"/>
        <v>0</v>
      </c>
      <c r="AR16" s="426">
        <f t="shared" si="32"/>
        <v>0</v>
      </c>
      <c r="AS16" s="426">
        <f t="shared" si="33"/>
        <v>0</v>
      </c>
      <c r="AT16" s="424">
        <f t="shared" si="14"/>
        <v>0</v>
      </c>
      <c r="AU16" s="424">
        <f t="shared" si="15"/>
        <v>0</v>
      </c>
      <c r="AV16" s="402">
        <f>IF(Données!$H$8="x",AW16,AX16)</f>
        <v>1.9</v>
      </c>
      <c r="AW16" s="402">
        <f t="shared" si="2"/>
        <v>0.95</v>
      </c>
      <c r="AX16" s="402">
        <f>AX15</f>
        <v>1.9</v>
      </c>
      <c r="AY16" s="403" t="str">
        <f t="shared" si="16"/>
        <v>Di</v>
      </c>
      <c r="AZ16" s="423">
        <f>IF((S40="M1.2")*AND(S41&lt;&gt;""),VLOOKUP(S41,Échelle!$AR$5:$AS$31,2),)</f>
        <v>0</v>
      </c>
      <c r="BA16" s="424" t="s">
        <v>9</v>
      </c>
      <c r="BB16" s="148"/>
    </row>
    <row r="17" spans="2:54" x14ac:dyDescent="0.2">
      <c r="B17" s="467" t="s">
        <v>188</v>
      </c>
      <c r="C17" s="468" t="s">
        <v>452</v>
      </c>
      <c r="D17" s="469"/>
      <c r="E17" s="469"/>
      <c r="F17" s="470"/>
      <c r="G17" s="470"/>
      <c r="H17" s="470"/>
      <c r="I17" s="470"/>
      <c r="J17" s="470"/>
      <c r="K17" s="470"/>
      <c r="L17" s="471">
        <f t="shared" si="0"/>
        <v>0</v>
      </c>
      <c r="M17" s="471">
        <f t="shared" si="17"/>
        <v>0</v>
      </c>
      <c r="N17" s="488">
        <f>IF(Juin!$H$47="x",AV17+Juin!$N$36,AV17)</f>
        <v>2.2166666666666668</v>
      </c>
      <c r="O17" s="483" t="str">
        <f t="shared" si="3"/>
        <v>-</v>
      </c>
      <c r="P17" s="473">
        <f t="shared" si="4"/>
        <v>2.2166666666666668</v>
      </c>
      <c r="Q17" s="474">
        <f t="shared" si="5"/>
        <v>0</v>
      </c>
      <c r="R17" s="474">
        <f t="shared" si="6"/>
        <v>0</v>
      </c>
      <c r="S17" s="474">
        <f t="shared" si="7"/>
        <v>0</v>
      </c>
      <c r="T17" s="474">
        <f t="shared" si="8"/>
        <v>0</v>
      </c>
      <c r="U17" s="471">
        <f t="shared" si="9"/>
        <v>0</v>
      </c>
      <c r="V17" s="488">
        <f t="shared" ref="V17:V21" si="35">IF(D17="F",L17,0)</f>
        <v>0</v>
      </c>
      <c r="W17" s="471">
        <f t="shared" si="10"/>
        <v>0</v>
      </c>
      <c r="X17" s="471">
        <f t="shared" si="11"/>
        <v>0</v>
      </c>
      <c r="Y17" s="470"/>
      <c r="Z17" s="470"/>
      <c r="AA17" s="469"/>
      <c r="AB17" s="475">
        <f t="shared" si="18"/>
        <v>0</v>
      </c>
      <c r="AC17" s="475">
        <f t="shared" si="19"/>
        <v>0</v>
      </c>
      <c r="AD17" s="475">
        <f t="shared" si="20"/>
        <v>0</v>
      </c>
      <c r="AE17" s="475">
        <f t="shared" si="21"/>
        <v>0</v>
      </c>
      <c r="AF17" s="476">
        <f t="shared" si="22"/>
        <v>0</v>
      </c>
      <c r="AG17" s="475">
        <f t="shared" si="23"/>
        <v>0</v>
      </c>
      <c r="AH17" s="476">
        <f t="shared" si="24"/>
        <v>0</v>
      </c>
      <c r="AI17" s="475">
        <f t="shared" si="25"/>
        <v>0</v>
      </c>
      <c r="AJ17" s="477">
        <f>IF((D17&lt;&gt;""),VLOOKUP(D17,Données!$E$36:$H$59,4,FALSE),)</f>
        <v>0</v>
      </c>
      <c r="AK17" s="477">
        <f t="shared" si="27"/>
        <v>0</v>
      </c>
      <c r="AL17" s="478">
        <f t="shared" si="28"/>
        <v>0</v>
      </c>
      <c r="AM17" s="479">
        <f t="shared" si="29"/>
        <v>0</v>
      </c>
      <c r="AN17" s="480">
        <f t="shared" si="12"/>
        <v>0</v>
      </c>
      <c r="AO17" s="477">
        <f t="shared" si="13"/>
        <v>0</v>
      </c>
      <c r="AP17" s="481">
        <f t="shared" si="30"/>
        <v>0</v>
      </c>
      <c r="AQ17" s="481">
        <f t="shared" si="31"/>
        <v>0</v>
      </c>
      <c r="AR17" s="481">
        <f t="shared" si="32"/>
        <v>0</v>
      </c>
      <c r="AS17" s="481">
        <f t="shared" si="33"/>
        <v>0</v>
      </c>
      <c r="AT17" s="479">
        <f t="shared" si="14"/>
        <v>0</v>
      </c>
      <c r="AU17" s="479">
        <f t="shared" si="15"/>
        <v>0</v>
      </c>
      <c r="AV17" s="471">
        <f>IF(Données!$H$8="x",AW17,AX17)</f>
        <v>2.2166666666666668</v>
      </c>
      <c r="AW17" s="471">
        <f t="shared" si="2"/>
        <v>1.1083333333333334</v>
      </c>
      <c r="AX17" s="471">
        <f t="shared" ref="AX17:AX21" si="36">IF(D17="L",AX16,(AX16+"07:36"))</f>
        <v>2.2166666666666668</v>
      </c>
      <c r="AY17" s="467" t="str">
        <f t="shared" si="16"/>
        <v>Lu</v>
      </c>
      <c r="AZ17" s="478">
        <f>IF((S40="M2.1")*AND(S41&lt;&gt;""),VLOOKUP(S41,Échelle!$AU$5:$AV$31,2),)</f>
        <v>0</v>
      </c>
      <c r="BA17" s="479" t="s">
        <v>10</v>
      </c>
      <c r="BB17" s="148"/>
    </row>
    <row r="18" spans="2:54" x14ac:dyDescent="0.2">
      <c r="B18" s="467" t="s">
        <v>176</v>
      </c>
      <c r="C18" s="468" t="s">
        <v>453</v>
      </c>
      <c r="D18" s="469"/>
      <c r="E18" s="469"/>
      <c r="F18" s="470"/>
      <c r="G18" s="470"/>
      <c r="H18" s="470"/>
      <c r="I18" s="470"/>
      <c r="J18" s="470"/>
      <c r="K18" s="470"/>
      <c r="L18" s="471">
        <f t="shared" si="0"/>
        <v>0</v>
      </c>
      <c r="M18" s="471">
        <f t="shared" si="17"/>
        <v>0</v>
      </c>
      <c r="N18" s="488">
        <f>IF(Juin!$H$47="x",AV18+Juin!$N$36,AV18)</f>
        <v>2.5333333333333332</v>
      </c>
      <c r="O18" s="483" t="str">
        <f t="shared" si="3"/>
        <v>-</v>
      </c>
      <c r="P18" s="473">
        <f t="shared" si="4"/>
        <v>2.5333333333333332</v>
      </c>
      <c r="Q18" s="474">
        <f t="shared" si="5"/>
        <v>0</v>
      </c>
      <c r="R18" s="474">
        <f t="shared" si="6"/>
        <v>0</v>
      </c>
      <c r="S18" s="474">
        <f t="shared" si="7"/>
        <v>0</v>
      </c>
      <c r="T18" s="474">
        <f t="shared" si="8"/>
        <v>0</v>
      </c>
      <c r="U18" s="471">
        <f t="shared" si="9"/>
        <v>0</v>
      </c>
      <c r="V18" s="488">
        <f t="shared" si="35"/>
        <v>0</v>
      </c>
      <c r="W18" s="471">
        <f t="shared" si="10"/>
        <v>0</v>
      </c>
      <c r="X18" s="471">
        <f t="shared" si="11"/>
        <v>0</v>
      </c>
      <c r="Y18" s="470"/>
      <c r="Z18" s="470"/>
      <c r="AA18" s="469"/>
      <c r="AB18" s="475">
        <f t="shared" si="18"/>
        <v>0</v>
      </c>
      <c r="AC18" s="475">
        <f t="shared" si="19"/>
        <v>0</v>
      </c>
      <c r="AD18" s="475">
        <f t="shared" si="20"/>
        <v>0</v>
      </c>
      <c r="AE18" s="475">
        <f t="shared" si="21"/>
        <v>0</v>
      </c>
      <c r="AF18" s="476">
        <f t="shared" si="22"/>
        <v>0</v>
      </c>
      <c r="AG18" s="475">
        <f t="shared" si="23"/>
        <v>0</v>
      </c>
      <c r="AH18" s="476">
        <f t="shared" si="24"/>
        <v>0</v>
      </c>
      <c r="AI18" s="475">
        <f t="shared" si="25"/>
        <v>0</v>
      </c>
      <c r="AJ18" s="477">
        <f>IF((D18&lt;&gt;""),VLOOKUP(D18,Données!$E$36:$H$59,4,FALSE),)</f>
        <v>0</v>
      </c>
      <c r="AK18" s="477">
        <f t="shared" si="27"/>
        <v>0</v>
      </c>
      <c r="AL18" s="478">
        <f t="shared" si="28"/>
        <v>0</v>
      </c>
      <c r="AM18" s="479">
        <f t="shared" si="29"/>
        <v>0</v>
      </c>
      <c r="AN18" s="480">
        <f t="shared" si="12"/>
        <v>0</v>
      </c>
      <c r="AO18" s="477">
        <f t="shared" si="13"/>
        <v>0</v>
      </c>
      <c r="AP18" s="481">
        <f t="shared" si="30"/>
        <v>0</v>
      </c>
      <c r="AQ18" s="481">
        <f t="shared" si="31"/>
        <v>0</v>
      </c>
      <c r="AR18" s="481">
        <f t="shared" si="32"/>
        <v>0</v>
      </c>
      <c r="AS18" s="481">
        <f t="shared" si="33"/>
        <v>0</v>
      </c>
      <c r="AT18" s="479">
        <f t="shared" si="14"/>
        <v>0</v>
      </c>
      <c r="AU18" s="479">
        <f t="shared" si="15"/>
        <v>0</v>
      </c>
      <c r="AV18" s="471">
        <f>IF(Données!$H$8="x",AW18,AX18)</f>
        <v>2.5333333333333332</v>
      </c>
      <c r="AW18" s="471">
        <f t="shared" si="2"/>
        <v>1.2666666666666666</v>
      </c>
      <c r="AX18" s="471">
        <f t="shared" si="36"/>
        <v>2.5333333333333332</v>
      </c>
      <c r="AY18" s="467" t="str">
        <f t="shared" si="16"/>
        <v>Ma</v>
      </c>
      <c r="AZ18" s="478">
        <f>IF((S40="M2.2")*AND(S41&lt;&gt;""),VLOOKUP(S41,Échelle!$AX$5:$AY$31,2),)</f>
        <v>0</v>
      </c>
      <c r="BA18" s="479" t="s">
        <v>11</v>
      </c>
      <c r="BB18" s="148"/>
    </row>
    <row r="19" spans="2:54" x14ac:dyDescent="0.2">
      <c r="B19" s="467" t="s">
        <v>178</v>
      </c>
      <c r="C19" s="468" t="s">
        <v>454</v>
      </c>
      <c r="D19" s="469"/>
      <c r="E19" s="469"/>
      <c r="F19" s="470"/>
      <c r="G19" s="470"/>
      <c r="H19" s="470"/>
      <c r="I19" s="470"/>
      <c r="J19" s="470"/>
      <c r="K19" s="470"/>
      <c r="L19" s="471">
        <f t="shared" si="0"/>
        <v>0</v>
      </c>
      <c r="M19" s="471">
        <f t="shared" si="17"/>
        <v>0</v>
      </c>
      <c r="N19" s="488">
        <f>IF(Juin!$H$47="x",AV19+Juin!$N$36,AV19)</f>
        <v>2.8499999999999996</v>
      </c>
      <c r="O19" s="483" t="str">
        <f t="shared" si="3"/>
        <v>-</v>
      </c>
      <c r="P19" s="473">
        <f t="shared" si="4"/>
        <v>2.8499999999999996</v>
      </c>
      <c r="Q19" s="474">
        <f t="shared" si="5"/>
        <v>0</v>
      </c>
      <c r="R19" s="474">
        <f t="shared" si="6"/>
        <v>0</v>
      </c>
      <c r="S19" s="474">
        <f t="shared" si="7"/>
        <v>0</v>
      </c>
      <c r="T19" s="474">
        <f t="shared" si="8"/>
        <v>0</v>
      </c>
      <c r="U19" s="471">
        <f t="shared" si="9"/>
        <v>0</v>
      </c>
      <c r="V19" s="488">
        <f t="shared" si="35"/>
        <v>0</v>
      </c>
      <c r="W19" s="471">
        <f t="shared" si="10"/>
        <v>0</v>
      </c>
      <c r="X19" s="471">
        <f t="shared" si="11"/>
        <v>0</v>
      </c>
      <c r="Y19" s="470"/>
      <c r="Z19" s="470"/>
      <c r="AA19" s="469"/>
      <c r="AB19" s="475">
        <f t="shared" si="18"/>
        <v>0</v>
      </c>
      <c r="AC19" s="475">
        <f t="shared" si="19"/>
        <v>0</v>
      </c>
      <c r="AD19" s="475">
        <f t="shared" si="20"/>
        <v>0</v>
      </c>
      <c r="AE19" s="475">
        <f t="shared" si="21"/>
        <v>0</v>
      </c>
      <c r="AF19" s="476">
        <f t="shared" si="22"/>
        <v>0</v>
      </c>
      <c r="AG19" s="475">
        <f t="shared" si="23"/>
        <v>0</v>
      </c>
      <c r="AH19" s="476">
        <f t="shared" si="24"/>
        <v>0</v>
      </c>
      <c r="AI19" s="475">
        <f t="shared" si="25"/>
        <v>0</v>
      </c>
      <c r="AJ19" s="477">
        <f>IF((D19&lt;&gt;""),VLOOKUP(D19,Données!$E$36:$H$59,4,FALSE),)</f>
        <v>0</v>
      </c>
      <c r="AK19" s="477">
        <f t="shared" si="27"/>
        <v>0</v>
      </c>
      <c r="AL19" s="478">
        <f t="shared" si="28"/>
        <v>0</v>
      </c>
      <c r="AM19" s="479">
        <f t="shared" si="29"/>
        <v>0</v>
      </c>
      <c r="AN19" s="480">
        <f t="shared" si="12"/>
        <v>0</v>
      </c>
      <c r="AO19" s="477">
        <f t="shared" si="13"/>
        <v>0</v>
      </c>
      <c r="AP19" s="481">
        <f t="shared" si="30"/>
        <v>0</v>
      </c>
      <c r="AQ19" s="481">
        <f t="shared" si="31"/>
        <v>0</v>
      </c>
      <c r="AR19" s="481">
        <f t="shared" si="32"/>
        <v>0</v>
      </c>
      <c r="AS19" s="481">
        <f t="shared" si="33"/>
        <v>0</v>
      </c>
      <c r="AT19" s="479">
        <f t="shared" si="14"/>
        <v>0</v>
      </c>
      <c r="AU19" s="479">
        <f t="shared" si="15"/>
        <v>0</v>
      </c>
      <c r="AV19" s="471">
        <f>IF(Données!$H$8="x",AW19,AX19)</f>
        <v>2.8499999999999996</v>
      </c>
      <c r="AW19" s="471">
        <f t="shared" si="2"/>
        <v>1.4249999999999998</v>
      </c>
      <c r="AX19" s="471">
        <f t="shared" si="36"/>
        <v>2.8499999999999996</v>
      </c>
      <c r="AY19" s="467" t="str">
        <f t="shared" si="16"/>
        <v>Me</v>
      </c>
      <c r="AZ19" s="478">
        <f>IF((S40="M3.1")*AND(S41&lt;&gt;""),VLOOKUP(S41,Échelle!$BA$5:$BB$31,2),)</f>
        <v>0</v>
      </c>
      <c r="BA19" s="479" t="s">
        <v>12</v>
      </c>
      <c r="BB19" s="148"/>
    </row>
    <row r="20" spans="2:54" x14ac:dyDescent="0.2">
      <c r="B20" s="467" t="s">
        <v>180</v>
      </c>
      <c r="C20" s="468" t="s">
        <v>455</v>
      </c>
      <c r="D20" s="469"/>
      <c r="E20" s="469"/>
      <c r="F20" s="470"/>
      <c r="G20" s="470"/>
      <c r="H20" s="470"/>
      <c r="I20" s="470"/>
      <c r="J20" s="470"/>
      <c r="K20" s="470"/>
      <c r="L20" s="471">
        <f t="shared" si="0"/>
        <v>0</v>
      </c>
      <c r="M20" s="471">
        <f t="shared" si="17"/>
        <v>0</v>
      </c>
      <c r="N20" s="488">
        <f>IF(Juin!$H$47="x",AV20+Juin!$N$36,AV20)</f>
        <v>3.1666666666666661</v>
      </c>
      <c r="O20" s="483" t="str">
        <f t="shared" si="3"/>
        <v>-</v>
      </c>
      <c r="P20" s="473">
        <f t="shared" si="4"/>
        <v>3.1666666666666661</v>
      </c>
      <c r="Q20" s="474">
        <f t="shared" si="5"/>
        <v>0</v>
      </c>
      <c r="R20" s="474">
        <f t="shared" si="6"/>
        <v>0</v>
      </c>
      <c r="S20" s="474">
        <f t="shared" si="7"/>
        <v>0</v>
      </c>
      <c r="T20" s="474">
        <f t="shared" si="8"/>
        <v>0</v>
      </c>
      <c r="U20" s="471">
        <f t="shared" si="9"/>
        <v>0</v>
      </c>
      <c r="V20" s="488">
        <f t="shared" si="35"/>
        <v>0</v>
      </c>
      <c r="W20" s="471">
        <f t="shared" si="10"/>
        <v>0</v>
      </c>
      <c r="X20" s="471">
        <f t="shared" si="11"/>
        <v>0</v>
      </c>
      <c r="Y20" s="470"/>
      <c r="Z20" s="470"/>
      <c r="AA20" s="469"/>
      <c r="AB20" s="475">
        <f t="shared" si="18"/>
        <v>0</v>
      </c>
      <c r="AC20" s="475">
        <f t="shared" si="19"/>
        <v>0</v>
      </c>
      <c r="AD20" s="475">
        <f t="shared" si="20"/>
        <v>0</v>
      </c>
      <c r="AE20" s="475">
        <f t="shared" si="21"/>
        <v>0</v>
      </c>
      <c r="AF20" s="476">
        <f t="shared" si="22"/>
        <v>0</v>
      </c>
      <c r="AG20" s="475">
        <f t="shared" si="23"/>
        <v>0</v>
      </c>
      <c r="AH20" s="476">
        <f t="shared" si="24"/>
        <v>0</v>
      </c>
      <c r="AI20" s="475">
        <f t="shared" si="25"/>
        <v>0</v>
      </c>
      <c r="AJ20" s="477">
        <f>IF((D20&lt;&gt;""),VLOOKUP(D20,Données!$E$36:$H$59,4,FALSE),)</f>
        <v>0</v>
      </c>
      <c r="AK20" s="477">
        <f t="shared" si="27"/>
        <v>0</v>
      </c>
      <c r="AL20" s="478">
        <f t="shared" si="28"/>
        <v>0</v>
      </c>
      <c r="AM20" s="479">
        <f t="shared" si="29"/>
        <v>0</v>
      </c>
      <c r="AN20" s="480">
        <f t="shared" si="12"/>
        <v>0</v>
      </c>
      <c r="AO20" s="477">
        <f t="shared" si="13"/>
        <v>0</v>
      </c>
      <c r="AP20" s="481">
        <f t="shared" si="30"/>
        <v>0</v>
      </c>
      <c r="AQ20" s="481">
        <f t="shared" si="31"/>
        <v>0</v>
      </c>
      <c r="AR20" s="481">
        <f t="shared" si="32"/>
        <v>0</v>
      </c>
      <c r="AS20" s="481">
        <f t="shared" si="33"/>
        <v>0</v>
      </c>
      <c r="AT20" s="479">
        <f t="shared" si="14"/>
        <v>0</v>
      </c>
      <c r="AU20" s="479">
        <f t="shared" si="15"/>
        <v>0</v>
      </c>
      <c r="AV20" s="471">
        <f>IF(Données!$H$8="x",AW20,AX20)</f>
        <v>3.1666666666666661</v>
      </c>
      <c r="AW20" s="471">
        <f t="shared" si="2"/>
        <v>1.583333333333333</v>
      </c>
      <c r="AX20" s="471">
        <f t="shared" si="36"/>
        <v>3.1666666666666661</v>
      </c>
      <c r="AY20" s="467" t="str">
        <f t="shared" si="16"/>
        <v>Je</v>
      </c>
      <c r="AZ20" s="478">
        <f>IF((S40="M3.2")*AND(S41&lt;&gt;""),VLOOKUP(S41,Échelle!$BD$5:$BE$31,2),)</f>
        <v>0</v>
      </c>
      <c r="BA20" s="479" t="s">
        <v>13</v>
      </c>
      <c r="BB20" s="148"/>
    </row>
    <row r="21" spans="2:54" x14ac:dyDescent="0.2">
      <c r="B21" s="467" t="s">
        <v>182</v>
      </c>
      <c r="C21" s="468" t="s">
        <v>456</v>
      </c>
      <c r="D21" s="469"/>
      <c r="E21" s="469"/>
      <c r="F21" s="470"/>
      <c r="G21" s="470"/>
      <c r="H21" s="470"/>
      <c r="I21" s="470"/>
      <c r="J21" s="470"/>
      <c r="K21" s="470"/>
      <c r="L21" s="471">
        <f t="shared" si="0"/>
        <v>0</v>
      </c>
      <c r="M21" s="471">
        <f>M20+L21</f>
        <v>0</v>
      </c>
      <c r="N21" s="488">
        <f>IF(Juin!$H$47="x",AV21+Juin!$N$36,AV21)</f>
        <v>3.4833333333333325</v>
      </c>
      <c r="O21" s="483" t="str">
        <f t="shared" si="3"/>
        <v>-</v>
      </c>
      <c r="P21" s="473">
        <f t="shared" si="4"/>
        <v>3.4833333333333325</v>
      </c>
      <c r="Q21" s="474">
        <f t="shared" si="5"/>
        <v>0</v>
      </c>
      <c r="R21" s="474">
        <f t="shared" si="6"/>
        <v>0</v>
      </c>
      <c r="S21" s="474">
        <f t="shared" si="7"/>
        <v>0</v>
      </c>
      <c r="T21" s="474">
        <f t="shared" si="8"/>
        <v>0</v>
      </c>
      <c r="U21" s="471">
        <f t="shared" si="9"/>
        <v>0</v>
      </c>
      <c r="V21" s="488">
        <f t="shared" si="35"/>
        <v>0</v>
      </c>
      <c r="W21" s="471">
        <f t="shared" si="10"/>
        <v>0</v>
      </c>
      <c r="X21" s="471">
        <f t="shared" si="11"/>
        <v>0</v>
      </c>
      <c r="Y21" s="470"/>
      <c r="Z21" s="470"/>
      <c r="AA21" s="469"/>
      <c r="AB21" s="475">
        <f t="shared" si="18"/>
        <v>0</v>
      </c>
      <c r="AC21" s="475">
        <f t="shared" si="19"/>
        <v>0</v>
      </c>
      <c r="AD21" s="475">
        <f t="shared" si="20"/>
        <v>0</v>
      </c>
      <c r="AE21" s="475">
        <f t="shared" si="21"/>
        <v>0</v>
      </c>
      <c r="AF21" s="476">
        <f t="shared" si="22"/>
        <v>0</v>
      </c>
      <c r="AG21" s="475">
        <f t="shared" si="23"/>
        <v>0</v>
      </c>
      <c r="AH21" s="476">
        <f t="shared" si="24"/>
        <v>0</v>
      </c>
      <c r="AI21" s="475">
        <f t="shared" si="25"/>
        <v>0</v>
      </c>
      <c r="AJ21" s="477">
        <f>IF((D21&lt;&gt;""),VLOOKUP(D21,Données!$E$36:$H$59,4,FALSE),)</f>
        <v>0</v>
      </c>
      <c r="AK21" s="477">
        <f t="shared" si="27"/>
        <v>0</v>
      </c>
      <c r="AL21" s="478">
        <f t="shared" si="28"/>
        <v>0</v>
      </c>
      <c r="AM21" s="479">
        <f t="shared" si="29"/>
        <v>0</v>
      </c>
      <c r="AN21" s="480">
        <f t="shared" si="12"/>
        <v>0</v>
      </c>
      <c r="AO21" s="477">
        <f t="shared" si="13"/>
        <v>0</v>
      </c>
      <c r="AP21" s="481">
        <f t="shared" si="30"/>
        <v>0</v>
      </c>
      <c r="AQ21" s="481">
        <f t="shared" si="31"/>
        <v>0</v>
      </c>
      <c r="AR21" s="481">
        <f t="shared" si="32"/>
        <v>0</v>
      </c>
      <c r="AS21" s="481">
        <f t="shared" si="33"/>
        <v>0</v>
      </c>
      <c r="AT21" s="479">
        <f t="shared" si="14"/>
        <v>0</v>
      </c>
      <c r="AU21" s="479">
        <f t="shared" si="15"/>
        <v>0</v>
      </c>
      <c r="AV21" s="471">
        <f>IF(Données!$H$8="x",AW21,AX21)</f>
        <v>3.4833333333333325</v>
      </c>
      <c r="AW21" s="471">
        <f t="shared" si="2"/>
        <v>1.7416666666666663</v>
      </c>
      <c r="AX21" s="471">
        <f t="shared" si="36"/>
        <v>3.4833333333333325</v>
      </c>
      <c r="AY21" s="467" t="str">
        <f t="shared" si="16"/>
        <v>Ve</v>
      </c>
      <c r="AZ21" s="478">
        <f>IF((S40="M4.1")*AND(S41&lt;&gt;""),VLOOKUP(S41,Échelle!$BJ$39:$BK$68,2),)</f>
        <v>33124</v>
      </c>
      <c r="BA21" s="479" t="s">
        <v>14</v>
      </c>
      <c r="BB21" s="148"/>
    </row>
    <row r="22" spans="2:54" x14ac:dyDescent="0.2">
      <c r="B22" s="403" t="s">
        <v>184</v>
      </c>
      <c r="C22" s="412" t="s">
        <v>457</v>
      </c>
      <c r="D22" s="411"/>
      <c r="E22" s="411"/>
      <c r="F22" s="401"/>
      <c r="G22" s="401"/>
      <c r="H22" s="401"/>
      <c r="I22" s="401"/>
      <c r="J22" s="513"/>
      <c r="K22" s="513"/>
      <c r="L22" s="402">
        <f>(G22-F22)+(I22-H22)+(K22-J22)</f>
        <v>0</v>
      </c>
      <c r="M22" s="402">
        <f>M21+L22</f>
        <v>0</v>
      </c>
      <c r="N22" s="407">
        <f>IF(Juin!$H$47="x",AV22+Juin!$N$36,AV22)</f>
        <v>3.4833333333333325</v>
      </c>
      <c r="O22" s="408" t="str">
        <f t="shared" si="3"/>
        <v>-</v>
      </c>
      <c r="P22" s="413">
        <f t="shared" si="4"/>
        <v>3.4833333333333325</v>
      </c>
      <c r="Q22" s="410">
        <f t="shared" si="5"/>
        <v>0</v>
      </c>
      <c r="R22" s="410">
        <f t="shared" si="6"/>
        <v>0</v>
      </c>
      <c r="S22" s="410">
        <f t="shared" si="7"/>
        <v>0</v>
      </c>
      <c r="T22" s="410">
        <f t="shared" si="8"/>
        <v>0</v>
      </c>
      <c r="U22" s="402">
        <f t="shared" si="9"/>
        <v>0</v>
      </c>
      <c r="V22" s="407">
        <f>L22</f>
        <v>0</v>
      </c>
      <c r="W22" s="402">
        <f t="shared" si="10"/>
        <v>0</v>
      </c>
      <c r="X22" s="402">
        <f t="shared" si="11"/>
        <v>0</v>
      </c>
      <c r="Y22" s="401"/>
      <c r="Z22" s="401"/>
      <c r="AA22" s="411"/>
      <c r="AB22" s="420">
        <f t="shared" si="18"/>
        <v>0</v>
      </c>
      <c r="AC22" s="420">
        <f t="shared" si="19"/>
        <v>0</v>
      </c>
      <c r="AD22" s="420">
        <f t="shared" si="20"/>
        <v>0</v>
      </c>
      <c r="AE22" s="420">
        <f t="shared" si="21"/>
        <v>0</v>
      </c>
      <c r="AF22" s="421">
        <f t="shared" si="22"/>
        <v>0</v>
      </c>
      <c r="AG22" s="420">
        <f t="shared" si="23"/>
        <v>0</v>
      </c>
      <c r="AH22" s="421">
        <f t="shared" si="24"/>
        <v>0</v>
      </c>
      <c r="AI22" s="420">
        <f t="shared" si="25"/>
        <v>0</v>
      </c>
      <c r="AJ22" s="422">
        <f>IF((D22&lt;&gt;""),VLOOKUP(D22,Données!$E$36:$H$59,4,FALSE),)</f>
        <v>0</v>
      </c>
      <c r="AK22" s="422">
        <f t="shared" si="27"/>
        <v>0</v>
      </c>
      <c r="AL22" s="423">
        <f t="shared" si="28"/>
        <v>0</v>
      </c>
      <c r="AM22" s="424">
        <f t="shared" si="29"/>
        <v>0</v>
      </c>
      <c r="AN22" s="425">
        <f t="shared" si="12"/>
        <v>0</v>
      </c>
      <c r="AO22" s="422">
        <f t="shared" si="13"/>
        <v>0</v>
      </c>
      <c r="AP22" s="426">
        <f t="shared" si="30"/>
        <v>0</v>
      </c>
      <c r="AQ22" s="426">
        <f t="shared" si="31"/>
        <v>0</v>
      </c>
      <c r="AR22" s="426">
        <f t="shared" si="32"/>
        <v>0</v>
      </c>
      <c r="AS22" s="426">
        <f t="shared" si="33"/>
        <v>0</v>
      </c>
      <c r="AT22" s="424">
        <f t="shared" si="14"/>
        <v>0</v>
      </c>
      <c r="AU22" s="424">
        <f t="shared" si="15"/>
        <v>0</v>
      </c>
      <c r="AV22" s="402">
        <f>IF(Données!$H$8="x",AW22,AX22)</f>
        <v>3.4833333333333325</v>
      </c>
      <c r="AW22" s="402">
        <f t="shared" si="2"/>
        <v>1.7416666666666663</v>
      </c>
      <c r="AX22" s="402">
        <f>AX21</f>
        <v>3.4833333333333325</v>
      </c>
      <c r="AY22" s="403" t="str">
        <f t="shared" si="16"/>
        <v>Sa</v>
      </c>
      <c r="AZ22" s="423">
        <f>IF((S40="M4.2")*AND(S41&lt;&gt;""),VLOOKUP(S41,Échelle!$BJ$5:$BK$31,2),)</f>
        <v>0</v>
      </c>
      <c r="BA22" s="424" t="s">
        <v>15</v>
      </c>
      <c r="BB22" s="148"/>
    </row>
    <row r="23" spans="2:54" x14ac:dyDescent="0.2">
      <c r="B23" s="403" t="s">
        <v>186</v>
      </c>
      <c r="C23" s="412" t="s">
        <v>458</v>
      </c>
      <c r="D23" s="411"/>
      <c r="E23" s="411"/>
      <c r="F23" s="401"/>
      <c r="G23" s="401"/>
      <c r="H23" s="401"/>
      <c r="I23" s="401"/>
      <c r="J23" s="401"/>
      <c r="K23" s="401"/>
      <c r="L23" s="402">
        <f>(G23-F23)+(I23-H23)+(K23-J23)</f>
        <v>0</v>
      </c>
      <c r="M23" s="402">
        <f t="shared" si="17"/>
        <v>0</v>
      </c>
      <c r="N23" s="407">
        <f>IF(Juin!$H$47="x",AV23+Juin!$N$36,AV23)</f>
        <v>3.4833333333333325</v>
      </c>
      <c r="O23" s="408" t="str">
        <f t="shared" si="3"/>
        <v>-</v>
      </c>
      <c r="P23" s="413">
        <f t="shared" si="4"/>
        <v>3.4833333333333325</v>
      </c>
      <c r="Q23" s="410">
        <f t="shared" si="5"/>
        <v>0</v>
      </c>
      <c r="R23" s="410">
        <f t="shared" si="6"/>
        <v>0</v>
      </c>
      <c r="S23" s="410">
        <f t="shared" si="7"/>
        <v>0</v>
      </c>
      <c r="T23" s="410">
        <f t="shared" si="8"/>
        <v>0</v>
      </c>
      <c r="U23" s="402">
        <f t="shared" si="9"/>
        <v>0</v>
      </c>
      <c r="V23" s="407">
        <f>L23</f>
        <v>0</v>
      </c>
      <c r="W23" s="402">
        <f t="shared" si="10"/>
        <v>0</v>
      </c>
      <c r="X23" s="402">
        <f t="shared" si="11"/>
        <v>0</v>
      </c>
      <c r="Y23" s="401"/>
      <c r="Z23" s="401"/>
      <c r="AA23" s="411"/>
      <c r="AB23" s="420">
        <f t="shared" si="18"/>
        <v>0</v>
      </c>
      <c r="AC23" s="420">
        <f t="shared" si="19"/>
        <v>0</v>
      </c>
      <c r="AD23" s="420">
        <f t="shared" si="20"/>
        <v>0</v>
      </c>
      <c r="AE23" s="420">
        <f t="shared" si="21"/>
        <v>0</v>
      </c>
      <c r="AF23" s="421">
        <f t="shared" si="22"/>
        <v>0</v>
      </c>
      <c r="AG23" s="420">
        <f t="shared" si="23"/>
        <v>0</v>
      </c>
      <c r="AH23" s="421">
        <f t="shared" si="24"/>
        <v>0</v>
      </c>
      <c r="AI23" s="420">
        <f t="shared" si="25"/>
        <v>0</v>
      </c>
      <c r="AJ23" s="422">
        <f>IF((D23&lt;&gt;""),VLOOKUP(D23,Données!$E$36:$H$59,4,FALSE),)</f>
        <v>0</v>
      </c>
      <c r="AK23" s="422">
        <f t="shared" si="27"/>
        <v>0</v>
      </c>
      <c r="AL23" s="423">
        <f t="shared" si="28"/>
        <v>0</v>
      </c>
      <c r="AM23" s="424">
        <f t="shared" si="29"/>
        <v>0</v>
      </c>
      <c r="AN23" s="425">
        <f t="shared" si="12"/>
        <v>0</v>
      </c>
      <c r="AO23" s="422">
        <f t="shared" si="13"/>
        <v>0</v>
      </c>
      <c r="AP23" s="426">
        <f t="shared" si="30"/>
        <v>0</v>
      </c>
      <c r="AQ23" s="426">
        <f t="shared" si="31"/>
        <v>0</v>
      </c>
      <c r="AR23" s="426">
        <f t="shared" si="32"/>
        <v>0</v>
      </c>
      <c r="AS23" s="426">
        <f t="shared" si="33"/>
        <v>0</v>
      </c>
      <c r="AT23" s="424">
        <f t="shared" si="14"/>
        <v>0</v>
      </c>
      <c r="AU23" s="424">
        <f t="shared" si="15"/>
        <v>0</v>
      </c>
      <c r="AV23" s="402">
        <f>IF(Données!$H$8="x",AW23,AX23)</f>
        <v>3.4833333333333325</v>
      </c>
      <c r="AW23" s="402">
        <f t="shared" si="2"/>
        <v>1.7416666666666663</v>
      </c>
      <c r="AX23" s="402">
        <f>AX22</f>
        <v>3.4833333333333325</v>
      </c>
      <c r="AY23" s="403" t="str">
        <f t="shared" si="16"/>
        <v>Di</v>
      </c>
      <c r="AZ23" s="423">
        <f>IF((S40="M5.1")*AND(S41&lt;&gt;""),VLOOKUP(S41,Échelle!$BM$5:$BN$31,2),)</f>
        <v>0</v>
      </c>
      <c r="BA23" s="424" t="s">
        <v>16</v>
      </c>
      <c r="BB23" s="148"/>
    </row>
    <row r="24" spans="2:54" x14ac:dyDescent="0.2">
      <c r="B24" s="467" t="s">
        <v>188</v>
      </c>
      <c r="C24" s="468" t="s">
        <v>459</v>
      </c>
      <c r="D24" s="469"/>
      <c r="E24" s="469"/>
      <c r="F24" s="470"/>
      <c r="G24" s="470"/>
      <c r="H24" s="470"/>
      <c r="I24" s="470"/>
      <c r="J24" s="470"/>
      <c r="K24" s="470"/>
      <c r="L24" s="471">
        <f t="shared" si="0"/>
        <v>0</v>
      </c>
      <c r="M24" s="471">
        <f t="shared" si="17"/>
        <v>0</v>
      </c>
      <c r="N24" s="488">
        <f>IF(Juin!$H$47="x",AV24+Juin!$N$36,AV24)</f>
        <v>3.7999999999999989</v>
      </c>
      <c r="O24" s="483" t="str">
        <f t="shared" si="3"/>
        <v>-</v>
      </c>
      <c r="P24" s="473">
        <f t="shared" si="4"/>
        <v>3.7999999999999989</v>
      </c>
      <c r="Q24" s="474">
        <f t="shared" si="5"/>
        <v>0</v>
      </c>
      <c r="R24" s="474">
        <f t="shared" si="6"/>
        <v>0</v>
      </c>
      <c r="S24" s="474">
        <f t="shared" si="7"/>
        <v>0</v>
      </c>
      <c r="T24" s="474">
        <f t="shared" si="8"/>
        <v>0</v>
      </c>
      <c r="U24" s="471">
        <f t="shared" si="9"/>
        <v>0</v>
      </c>
      <c r="V24" s="488">
        <f t="shared" ref="V24:V28" si="37">IF(D24="F",L24,0)</f>
        <v>0</v>
      </c>
      <c r="W24" s="471">
        <f t="shared" si="10"/>
        <v>0</v>
      </c>
      <c r="X24" s="471">
        <f t="shared" si="11"/>
        <v>0</v>
      </c>
      <c r="Y24" s="470"/>
      <c r="Z24" s="470"/>
      <c r="AA24" s="469"/>
      <c r="AB24" s="475">
        <f t="shared" si="18"/>
        <v>0</v>
      </c>
      <c r="AC24" s="475">
        <f t="shared" si="19"/>
        <v>0</v>
      </c>
      <c r="AD24" s="475">
        <f t="shared" si="20"/>
        <v>0</v>
      </c>
      <c r="AE24" s="475">
        <f t="shared" si="21"/>
        <v>0</v>
      </c>
      <c r="AF24" s="476">
        <f t="shared" si="22"/>
        <v>0</v>
      </c>
      <c r="AG24" s="475">
        <f t="shared" si="23"/>
        <v>0</v>
      </c>
      <c r="AH24" s="476">
        <f t="shared" si="24"/>
        <v>0</v>
      </c>
      <c r="AI24" s="475">
        <f t="shared" si="25"/>
        <v>0</v>
      </c>
      <c r="AJ24" s="477">
        <f>IF((D24&lt;&gt;""),VLOOKUP(D24,Données!$E$36:$H$59,4,FALSE),)</f>
        <v>0</v>
      </c>
      <c r="AK24" s="477">
        <f t="shared" si="27"/>
        <v>0</v>
      </c>
      <c r="AL24" s="478">
        <f t="shared" si="28"/>
        <v>0</v>
      </c>
      <c r="AM24" s="479">
        <f t="shared" si="29"/>
        <v>0</v>
      </c>
      <c r="AN24" s="480">
        <f t="shared" si="12"/>
        <v>0</v>
      </c>
      <c r="AO24" s="477">
        <f t="shared" si="13"/>
        <v>0</v>
      </c>
      <c r="AP24" s="481">
        <f t="shared" si="30"/>
        <v>0</v>
      </c>
      <c r="AQ24" s="481">
        <f t="shared" si="31"/>
        <v>0</v>
      </c>
      <c r="AR24" s="481">
        <f t="shared" si="32"/>
        <v>0</v>
      </c>
      <c r="AS24" s="481">
        <f t="shared" si="33"/>
        <v>0</v>
      </c>
      <c r="AT24" s="479">
        <f t="shared" si="14"/>
        <v>0</v>
      </c>
      <c r="AU24" s="479">
        <f t="shared" si="15"/>
        <v>0</v>
      </c>
      <c r="AV24" s="471">
        <f>IF(Données!$H$8="x",AW24,AX24)</f>
        <v>3.7999999999999989</v>
      </c>
      <c r="AW24" s="471">
        <f t="shared" si="2"/>
        <v>1.8999999999999995</v>
      </c>
      <c r="AX24" s="471">
        <f t="shared" ref="AX24:AX28" si="38">IF(D24="L",AX23,(AX23+"07:36"))</f>
        <v>3.7999999999999989</v>
      </c>
      <c r="AY24" s="467" t="str">
        <f t="shared" si="16"/>
        <v>Lu</v>
      </c>
      <c r="AZ24" s="478">
        <f>IF((S40="M5.2")*AND(S41&lt;&gt;""),VLOOKUP(S41,Échelle!$BP$5:$BQ$31,2),)</f>
        <v>0</v>
      </c>
      <c r="BA24" s="479" t="s">
        <v>17</v>
      </c>
      <c r="BB24" s="148"/>
    </row>
    <row r="25" spans="2:54" x14ac:dyDescent="0.2">
      <c r="B25" s="467" t="s">
        <v>176</v>
      </c>
      <c r="C25" s="468" t="s">
        <v>460</v>
      </c>
      <c r="D25" s="469"/>
      <c r="E25" s="469"/>
      <c r="F25" s="470"/>
      <c r="G25" s="470"/>
      <c r="H25" s="470"/>
      <c r="I25" s="470"/>
      <c r="J25" s="470"/>
      <c r="K25" s="470"/>
      <c r="L25" s="471">
        <f t="shared" si="0"/>
        <v>0</v>
      </c>
      <c r="M25" s="471">
        <f t="shared" si="17"/>
        <v>0</v>
      </c>
      <c r="N25" s="488">
        <f>IF(Juin!$H$47="x",AV25+Juin!$N$36,AV25)</f>
        <v>4.1166666666666654</v>
      </c>
      <c r="O25" s="483" t="str">
        <f t="shared" si="3"/>
        <v>-</v>
      </c>
      <c r="P25" s="473">
        <f t="shared" si="4"/>
        <v>4.1166666666666654</v>
      </c>
      <c r="Q25" s="474">
        <f t="shared" si="5"/>
        <v>0</v>
      </c>
      <c r="R25" s="474">
        <f t="shared" si="6"/>
        <v>0</v>
      </c>
      <c r="S25" s="474">
        <f t="shared" si="7"/>
        <v>0</v>
      </c>
      <c r="T25" s="474">
        <f t="shared" si="8"/>
        <v>0</v>
      </c>
      <c r="U25" s="471">
        <f t="shared" si="9"/>
        <v>0</v>
      </c>
      <c r="V25" s="488">
        <f t="shared" si="37"/>
        <v>0</v>
      </c>
      <c r="W25" s="471">
        <f t="shared" si="10"/>
        <v>0</v>
      </c>
      <c r="X25" s="471">
        <f t="shared" si="11"/>
        <v>0</v>
      </c>
      <c r="Y25" s="470"/>
      <c r="Z25" s="470"/>
      <c r="AA25" s="469"/>
      <c r="AB25" s="475">
        <f t="shared" si="18"/>
        <v>0</v>
      </c>
      <c r="AC25" s="475">
        <f t="shared" si="19"/>
        <v>0</v>
      </c>
      <c r="AD25" s="475">
        <f t="shared" si="20"/>
        <v>0</v>
      </c>
      <c r="AE25" s="475">
        <f t="shared" si="21"/>
        <v>0</v>
      </c>
      <c r="AF25" s="476">
        <f t="shared" si="22"/>
        <v>0</v>
      </c>
      <c r="AG25" s="475">
        <f t="shared" si="23"/>
        <v>0</v>
      </c>
      <c r="AH25" s="476">
        <f t="shared" si="24"/>
        <v>0</v>
      </c>
      <c r="AI25" s="475">
        <f t="shared" si="25"/>
        <v>0</v>
      </c>
      <c r="AJ25" s="477">
        <f>IF((D25&lt;&gt;""),VLOOKUP(D25,Données!$E$36:$H$59,4,FALSE),)</f>
        <v>0</v>
      </c>
      <c r="AK25" s="477">
        <f t="shared" si="27"/>
        <v>0</v>
      </c>
      <c r="AL25" s="478">
        <f t="shared" si="28"/>
        <v>0</v>
      </c>
      <c r="AM25" s="479">
        <f t="shared" si="29"/>
        <v>0</v>
      </c>
      <c r="AN25" s="480">
        <f t="shared" si="12"/>
        <v>0</v>
      </c>
      <c r="AO25" s="477">
        <f t="shared" si="13"/>
        <v>0</v>
      </c>
      <c r="AP25" s="481">
        <f t="shared" si="30"/>
        <v>0</v>
      </c>
      <c r="AQ25" s="481">
        <f t="shared" si="31"/>
        <v>0</v>
      </c>
      <c r="AR25" s="481">
        <f t="shared" si="32"/>
        <v>0</v>
      </c>
      <c r="AS25" s="481">
        <f t="shared" si="33"/>
        <v>0</v>
      </c>
      <c r="AT25" s="479">
        <f t="shared" si="14"/>
        <v>0</v>
      </c>
      <c r="AU25" s="479">
        <f t="shared" si="15"/>
        <v>0</v>
      </c>
      <c r="AV25" s="471">
        <f>IF(Données!$H$8="x",AW25,AX25)</f>
        <v>4.1166666666666654</v>
      </c>
      <c r="AW25" s="471">
        <f t="shared" si="2"/>
        <v>2.0583333333333327</v>
      </c>
      <c r="AX25" s="471">
        <f t="shared" si="38"/>
        <v>4.1166666666666654</v>
      </c>
      <c r="AY25" s="467" t="str">
        <f t="shared" si="16"/>
        <v>Ma</v>
      </c>
      <c r="AZ25" s="478">
        <f>IF((S40="M6")*AND(S41&lt;&gt;""),VLOOKUP(S41,Échelle!$BS$5:$BT$31,2),)</f>
        <v>0</v>
      </c>
      <c r="BA25" s="479" t="s">
        <v>18</v>
      </c>
      <c r="BB25" s="148"/>
    </row>
    <row r="26" spans="2:54" x14ac:dyDescent="0.2">
      <c r="B26" s="467" t="s">
        <v>178</v>
      </c>
      <c r="C26" s="468" t="s">
        <v>461</v>
      </c>
      <c r="D26" s="469"/>
      <c r="E26" s="469"/>
      <c r="F26" s="470"/>
      <c r="G26" s="470"/>
      <c r="H26" s="470"/>
      <c r="I26" s="470"/>
      <c r="J26" s="470"/>
      <c r="K26" s="470"/>
      <c r="L26" s="471">
        <f t="shared" si="0"/>
        <v>0</v>
      </c>
      <c r="M26" s="471">
        <f t="shared" si="17"/>
        <v>0</v>
      </c>
      <c r="N26" s="488">
        <f>IF(Juin!$H$47="x",AV26+Juin!$N$36,AV26)</f>
        <v>4.4333333333333318</v>
      </c>
      <c r="O26" s="483" t="str">
        <f t="shared" si="3"/>
        <v>-</v>
      </c>
      <c r="P26" s="473">
        <f t="shared" si="4"/>
        <v>4.4333333333333318</v>
      </c>
      <c r="Q26" s="474">
        <f t="shared" si="5"/>
        <v>0</v>
      </c>
      <c r="R26" s="474">
        <f t="shared" si="6"/>
        <v>0</v>
      </c>
      <c r="S26" s="474">
        <f t="shared" si="7"/>
        <v>0</v>
      </c>
      <c r="T26" s="474">
        <f t="shared" si="8"/>
        <v>0</v>
      </c>
      <c r="U26" s="471">
        <f t="shared" si="9"/>
        <v>0</v>
      </c>
      <c r="V26" s="488">
        <f t="shared" si="37"/>
        <v>0</v>
      </c>
      <c r="W26" s="471">
        <f t="shared" si="10"/>
        <v>0</v>
      </c>
      <c r="X26" s="471">
        <f t="shared" si="11"/>
        <v>0</v>
      </c>
      <c r="Y26" s="470"/>
      <c r="Z26" s="470"/>
      <c r="AA26" s="469"/>
      <c r="AB26" s="475">
        <f t="shared" si="18"/>
        <v>0</v>
      </c>
      <c r="AC26" s="475">
        <f t="shared" si="19"/>
        <v>0</v>
      </c>
      <c r="AD26" s="475">
        <f t="shared" si="20"/>
        <v>0</v>
      </c>
      <c r="AE26" s="475">
        <f t="shared" si="21"/>
        <v>0</v>
      </c>
      <c r="AF26" s="476">
        <f t="shared" si="22"/>
        <v>0</v>
      </c>
      <c r="AG26" s="475">
        <f t="shared" si="23"/>
        <v>0</v>
      </c>
      <c r="AH26" s="476">
        <f t="shared" si="24"/>
        <v>0</v>
      </c>
      <c r="AI26" s="475">
        <f t="shared" si="25"/>
        <v>0</v>
      </c>
      <c r="AJ26" s="477">
        <f>IF((D26&lt;&gt;""),VLOOKUP(D26,Données!$E$36:$H$59,4,FALSE),)</f>
        <v>0</v>
      </c>
      <c r="AK26" s="477">
        <f t="shared" si="27"/>
        <v>0</v>
      </c>
      <c r="AL26" s="478">
        <f t="shared" si="28"/>
        <v>0</v>
      </c>
      <c r="AM26" s="479">
        <f t="shared" si="29"/>
        <v>0</v>
      </c>
      <c r="AN26" s="480">
        <f t="shared" si="12"/>
        <v>0</v>
      </c>
      <c r="AO26" s="477">
        <f t="shared" si="13"/>
        <v>0</v>
      </c>
      <c r="AP26" s="481">
        <f t="shared" si="30"/>
        <v>0</v>
      </c>
      <c r="AQ26" s="481">
        <f t="shared" si="31"/>
        <v>0</v>
      </c>
      <c r="AR26" s="481">
        <f t="shared" si="32"/>
        <v>0</v>
      </c>
      <c r="AS26" s="481">
        <f t="shared" si="33"/>
        <v>0</v>
      </c>
      <c r="AT26" s="479">
        <f t="shared" si="14"/>
        <v>0</v>
      </c>
      <c r="AU26" s="479">
        <f t="shared" si="15"/>
        <v>0</v>
      </c>
      <c r="AV26" s="471">
        <f>IF(Données!$H$8="x",AW26,AX26)</f>
        <v>4.4333333333333318</v>
      </c>
      <c r="AW26" s="471">
        <f t="shared" si="2"/>
        <v>2.2166666666666659</v>
      </c>
      <c r="AX26" s="471">
        <f t="shared" si="38"/>
        <v>4.4333333333333318</v>
      </c>
      <c r="AY26" s="467" t="str">
        <f t="shared" si="16"/>
        <v>Me</v>
      </c>
      <c r="AZ26" s="478">
        <f>IF((S40="M7")*AND(S41&lt;&gt;""),VLOOKUP(S41,Échelle!$BV$5:$BW$31,2),)</f>
        <v>0</v>
      </c>
      <c r="BA26" s="479" t="s">
        <v>19</v>
      </c>
      <c r="BB26" s="148"/>
    </row>
    <row r="27" spans="2:54" x14ac:dyDescent="0.2">
      <c r="B27" s="430" t="s">
        <v>180</v>
      </c>
      <c r="C27" s="431" t="s">
        <v>462</v>
      </c>
      <c r="D27" s="432" t="s">
        <v>84</v>
      </c>
      <c r="E27" s="432"/>
      <c r="F27" s="433"/>
      <c r="G27" s="449"/>
      <c r="H27" s="433"/>
      <c r="I27" s="433"/>
      <c r="J27" s="438"/>
      <c r="K27" s="438"/>
      <c r="L27" s="434">
        <f t="shared" si="0"/>
        <v>0.31666666666666665</v>
      </c>
      <c r="M27" s="434">
        <f t="shared" si="17"/>
        <v>0.31666666666666665</v>
      </c>
      <c r="N27" s="439">
        <f>IF(Juin!$H$47="x",AV27+Juin!$N$36,AV27)</f>
        <v>4.7499999999999982</v>
      </c>
      <c r="O27" s="440" t="str">
        <f t="shared" si="3"/>
        <v>-</v>
      </c>
      <c r="P27" s="441">
        <f t="shared" si="4"/>
        <v>4.4333333333333318</v>
      </c>
      <c r="Q27" s="436">
        <f t="shared" si="5"/>
        <v>0</v>
      </c>
      <c r="R27" s="436">
        <f t="shared" si="6"/>
        <v>0</v>
      </c>
      <c r="S27" s="436">
        <f t="shared" si="7"/>
        <v>0</v>
      </c>
      <c r="T27" s="436">
        <f t="shared" si="8"/>
        <v>0</v>
      </c>
      <c r="U27" s="439">
        <f t="shared" si="9"/>
        <v>0</v>
      </c>
      <c r="V27" s="439">
        <f t="shared" si="37"/>
        <v>0</v>
      </c>
      <c r="W27" s="434">
        <f t="shared" si="10"/>
        <v>0</v>
      </c>
      <c r="X27" s="434">
        <f t="shared" si="11"/>
        <v>0</v>
      </c>
      <c r="Y27" s="432"/>
      <c r="Z27" s="433"/>
      <c r="AA27" s="433"/>
      <c r="AB27" s="442">
        <f t="shared" si="18"/>
        <v>0</v>
      </c>
      <c r="AC27" s="442">
        <f t="shared" si="19"/>
        <v>0</v>
      </c>
      <c r="AD27" s="442">
        <f t="shared" si="20"/>
        <v>0</v>
      </c>
      <c r="AE27" s="442">
        <f t="shared" si="21"/>
        <v>0</v>
      </c>
      <c r="AF27" s="443">
        <f t="shared" si="22"/>
        <v>0</v>
      </c>
      <c r="AG27" s="442">
        <f t="shared" si="23"/>
        <v>0</v>
      </c>
      <c r="AH27" s="443">
        <f t="shared" si="24"/>
        <v>0</v>
      </c>
      <c r="AI27" s="442">
        <f t="shared" si="25"/>
        <v>0</v>
      </c>
      <c r="AJ27" s="444">
        <f>IF((D27&lt;&gt;""),VLOOKUP(D27,Données!$E$36:$H$59,4,FALSE),)</f>
        <v>0.31666666666666665</v>
      </c>
      <c r="AK27" s="444">
        <f t="shared" si="27"/>
        <v>0</v>
      </c>
      <c r="AL27" s="445" t="str">
        <f t="shared" si="28"/>
        <v>FC</v>
      </c>
      <c r="AM27" s="446">
        <f t="shared" si="29"/>
        <v>0</v>
      </c>
      <c r="AN27" s="447">
        <f t="shared" si="12"/>
        <v>0</v>
      </c>
      <c r="AO27" s="444">
        <f t="shared" si="13"/>
        <v>0</v>
      </c>
      <c r="AP27" s="448">
        <f t="shared" si="30"/>
        <v>0</v>
      </c>
      <c r="AQ27" s="448">
        <f t="shared" si="31"/>
        <v>0</v>
      </c>
      <c r="AR27" s="448">
        <f t="shared" si="32"/>
        <v>0</v>
      </c>
      <c r="AS27" s="448">
        <f t="shared" si="33"/>
        <v>0</v>
      </c>
      <c r="AT27" s="446">
        <f t="shared" si="14"/>
        <v>0</v>
      </c>
      <c r="AU27" s="446">
        <f t="shared" si="15"/>
        <v>0</v>
      </c>
      <c r="AV27" s="434">
        <f>IF(Données!$H$8="x",AW27,AX27)</f>
        <v>4.7499999999999982</v>
      </c>
      <c r="AW27" s="434">
        <f t="shared" si="2"/>
        <v>2.3749999999999991</v>
      </c>
      <c r="AX27" s="434">
        <f t="shared" si="38"/>
        <v>4.7499999999999982</v>
      </c>
      <c r="AY27" s="430" t="str">
        <f t="shared" si="16"/>
        <v>Je</v>
      </c>
      <c r="AZ27" s="445">
        <f>IF((S40="M7bis")*AND(S41&lt;&gt;""),VLOOKUP(S41,Échelle!$BY$5:$BZ$31,2),)</f>
        <v>0</v>
      </c>
      <c r="BA27" s="446" t="s">
        <v>20</v>
      </c>
      <c r="BB27" s="148"/>
    </row>
    <row r="28" spans="2:54" x14ac:dyDescent="0.2">
      <c r="B28" s="467" t="s">
        <v>182</v>
      </c>
      <c r="C28" s="468" t="s">
        <v>463</v>
      </c>
      <c r="D28" s="469"/>
      <c r="E28" s="469"/>
      <c r="F28" s="470"/>
      <c r="G28" s="470"/>
      <c r="H28" s="470"/>
      <c r="I28" s="470"/>
      <c r="J28" s="470"/>
      <c r="K28" s="470"/>
      <c r="L28" s="471">
        <f t="shared" si="0"/>
        <v>0</v>
      </c>
      <c r="M28" s="471">
        <f>M27+L28</f>
        <v>0.31666666666666665</v>
      </c>
      <c r="N28" s="488">
        <f>IF(Juin!$H$47="x",AV28+Juin!$N$36,AV28)</f>
        <v>5.0666666666666647</v>
      </c>
      <c r="O28" s="483" t="str">
        <f t="shared" si="3"/>
        <v>-</v>
      </c>
      <c r="P28" s="473">
        <f t="shared" si="4"/>
        <v>4.7499999999999982</v>
      </c>
      <c r="Q28" s="474">
        <f t="shared" si="5"/>
        <v>0</v>
      </c>
      <c r="R28" s="474">
        <f t="shared" si="6"/>
        <v>0</v>
      </c>
      <c r="S28" s="474">
        <f t="shared" si="7"/>
        <v>0</v>
      </c>
      <c r="T28" s="474">
        <f t="shared" si="8"/>
        <v>0</v>
      </c>
      <c r="U28" s="471">
        <f t="shared" si="9"/>
        <v>0</v>
      </c>
      <c r="V28" s="488">
        <f t="shared" si="37"/>
        <v>0</v>
      </c>
      <c r="W28" s="471">
        <f t="shared" si="10"/>
        <v>0</v>
      </c>
      <c r="X28" s="471">
        <f t="shared" si="11"/>
        <v>0</v>
      </c>
      <c r="Y28" s="470"/>
      <c r="Z28" s="470"/>
      <c r="AA28" s="469"/>
      <c r="AB28" s="475">
        <f t="shared" si="18"/>
        <v>0</v>
      </c>
      <c r="AC28" s="475">
        <f t="shared" si="19"/>
        <v>0</v>
      </c>
      <c r="AD28" s="475">
        <f t="shared" si="20"/>
        <v>0</v>
      </c>
      <c r="AE28" s="475">
        <f t="shared" si="21"/>
        <v>0</v>
      </c>
      <c r="AF28" s="476">
        <f t="shared" si="22"/>
        <v>0</v>
      </c>
      <c r="AG28" s="475">
        <f t="shared" si="23"/>
        <v>0</v>
      </c>
      <c r="AH28" s="476">
        <f t="shared" si="24"/>
        <v>0</v>
      </c>
      <c r="AI28" s="475">
        <f t="shared" si="25"/>
        <v>0</v>
      </c>
      <c r="AJ28" s="477">
        <f>IF((D28&lt;&gt;""),VLOOKUP(D28,Données!$E$36:$H$59,4,FALSE),)</f>
        <v>0</v>
      </c>
      <c r="AK28" s="477">
        <f t="shared" si="27"/>
        <v>0</v>
      </c>
      <c r="AL28" s="478">
        <f t="shared" si="28"/>
        <v>0</v>
      </c>
      <c r="AM28" s="479">
        <f t="shared" si="29"/>
        <v>0</v>
      </c>
      <c r="AN28" s="480">
        <f t="shared" si="12"/>
        <v>0</v>
      </c>
      <c r="AO28" s="477">
        <f t="shared" si="13"/>
        <v>0</v>
      </c>
      <c r="AP28" s="481">
        <f t="shared" si="30"/>
        <v>0</v>
      </c>
      <c r="AQ28" s="481">
        <f t="shared" si="31"/>
        <v>0</v>
      </c>
      <c r="AR28" s="481">
        <f t="shared" si="32"/>
        <v>0</v>
      </c>
      <c r="AS28" s="481">
        <f t="shared" si="33"/>
        <v>0</v>
      </c>
      <c r="AT28" s="479">
        <f t="shared" si="14"/>
        <v>0</v>
      </c>
      <c r="AU28" s="479">
        <f t="shared" si="15"/>
        <v>0</v>
      </c>
      <c r="AV28" s="471">
        <f>IF(Données!$H$8="x",AW28,AX28)</f>
        <v>5.0666666666666647</v>
      </c>
      <c r="AW28" s="471">
        <f t="shared" si="2"/>
        <v>2.5333333333333323</v>
      </c>
      <c r="AX28" s="471">
        <f t="shared" si="38"/>
        <v>5.0666666666666647</v>
      </c>
      <c r="AY28" s="467" t="str">
        <f t="shared" si="16"/>
        <v>Ve</v>
      </c>
      <c r="AZ28" s="478">
        <f>IF((S40="O1")*AND(S41&lt;&gt;""),VLOOKUP(S41,Échelle!$Q$39:$R$65,2),)</f>
        <v>0</v>
      </c>
      <c r="BA28" s="479" t="s">
        <v>22</v>
      </c>
      <c r="BB28" s="148"/>
    </row>
    <row r="29" spans="2:54" x14ac:dyDescent="0.2">
      <c r="B29" s="403" t="s">
        <v>184</v>
      </c>
      <c r="C29" s="412" t="s">
        <v>464</v>
      </c>
      <c r="D29" s="411"/>
      <c r="E29" s="411"/>
      <c r="F29" s="401"/>
      <c r="G29" s="401"/>
      <c r="H29" s="401"/>
      <c r="I29" s="401"/>
      <c r="J29" s="513"/>
      <c r="K29" s="513"/>
      <c r="L29" s="402">
        <f>(G29-F29)+(I29-H29)+(K29-J29)</f>
        <v>0</v>
      </c>
      <c r="M29" s="402">
        <f>M28+L29</f>
        <v>0.31666666666666665</v>
      </c>
      <c r="N29" s="407">
        <f>IF(Juin!$H$47="x",AV29+Juin!$N$36,AV29)</f>
        <v>5.0666666666666647</v>
      </c>
      <c r="O29" s="408" t="str">
        <f t="shared" si="3"/>
        <v>-</v>
      </c>
      <c r="P29" s="413">
        <f t="shared" si="4"/>
        <v>4.7499999999999982</v>
      </c>
      <c r="Q29" s="410">
        <f t="shared" si="5"/>
        <v>0</v>
      </c>
      <c r="R29" s="410">
        <f t="shared" si="6"/>
        <v>0</v>
      </c>
      <c r="S29" s="410">
        <f t="shared" si="7"/>
        <v>0</v>
      </c>
      <c r="T29" s="410">
        <f t="shared" si="8"/>
        <v>0</v>
      </c>
      <c r="U29" s="402">
        <f t="shared" si="9"/>
        <v>0</v>
      </c>
      <c r="V29" s="407">
        <f>L29</f>
        <v>0</v>
      </c>
      <c r="W29" s="402">
        <f t="shared" si="10"/>
        <v>0</v>
      </c>
      <c r="X29" s="402">
        <f t="shared" si="11"/>
        <v>0</v>
      </c>
      <c r="Y29" s="401"/>
      <c r="Z29" s="401"/>
      <c r="AA29" s="411"/>
      <c r="AB29" s="420">
        <f t="shared" si="18"/>
        <v>0</v>
      </c>
      <c r="AC29" s="420">
        <f t="shared" si="19"/>
        <v>0</v>
      </c>
      <c r="AD29" s="420">
        <f t="shared" si="20"/>
        <v>0</v>
      </c>
      <c r="AE29" s="420">
        <f t="shared" si="21"/>
        <v>0</v>
      </c>
      <c r="AF29" s="421">
        <f t="shared" si="22"/>
        <v>0</v>
      </c>
      <c r="AG29" s="420">
        <f t="shared" si="23"/>
        <v>0</v>
      </c>
      <c r="AH29" s="421">
        <f t="shared" si="24"/>
        <v>0</v>
      </c>
      <c r="AI29" s="420">
        <f t="shared" si="25"/>
        <v>0</v>
      </c>
      <c r="AJ29" s="422">
        <f>IF((D29&lt;&gt;""),VLOOKUP(D29,Données!$E$36:$H$59,4,FALSE),)</f>
        <v>0</v>
      </c>
      <c r="AK29" s="422">
        <f t="shared" si="27"/>
        <v>0</v>
      </c>
      <c r="AL29" s="423">
        <f t="shared" si="28"/>
        <v>0</v>
      </c>
      <c r="AM29" s="424">
        <f t="shared" si="29"/>
        <v>0</v>
      </c>
      <c r="AN29" s="425">
        <f t="shared" si="12"/>
        <v>0</v>
      </c>
      <c r="AO29" s="422">
        <f t="shared" si="13"/>
        <v>0</v>
      </c>
      <c r="AP29" s="426">
        <f t="shared" si="30"/>
        <v>0</v>
      </c>
      <c r="AQ29" s="426">
        <f t="shared" si="31"/>
        <v>0</v>
      </c>
      <c r="AR29" s="426">
        <f t="shared" si="32"/>
        <v>0</v>
      </c>
      <c r="AS29" s="426">
        <f t="shared" si="33"/>
        <v>0</v>
      </c>
      <c r="AT29" s="424">
        <f t="shared" si="14"/>
        <v>0</v>
      </c>
      <c r="AU29" s="424">
        <f t="shared" si="15"/>
        <v>0</v>
      </c>
      <c r="AV29" s="402">
        <f>IF(Données!$H$8="x",AW29,AX29)</f>
        <v>5.0666666666666647</v>
      </c>
      <c r="AW29" s="402">
        <f t="shared" si="2"/>
        <v>2.5333333333333323</v>
      </c>
      <c r="AX29" s="402">
        <f>AX28</f>
        <v>5.0666666666666647</v>
      </c>
      <c r="AY29" s="403" t="str">
        <f t="shared" si="16"/>
        <v>Sa</v>
      </c>
      <c r="AZ29" s="423">
        <f>IF((S40="O2")*AND(S41&lt;&gt;""),VLOOKUP(S41,Échelle!$T$39:$U$65,2),)</f>
        <v>0</v>
      </c>
      <c r="BA29" s="424" t="s">
        <v>23</v>
      </c>
      <c r="BB29" s="148"/>
    </row>
    <row r="30" spans="2:54" x14ac:dyDescent="0.2">
      <c r="B30" s="403" t="s">
        <v>186</v>
      </c>
      <c r="C30" s="412" t="s">
        <v>465</v>
      </c>
      <c r="D30" s="411"/>
      <c r="E30" s="411"/>
      <c r="F30" s="401"/>
      <c r="G30" s="401"/>
      <c r="H30" s="401"/>
      <c r="I30" s="401"/>
      <c r="J30" s="401"/>
      <c r="K30" s="401"/>
      <c r="L30" s="402">
        <f>(G30-F30)+(I30-H30)+(K30-J30)</f>
        <v>0</v>
      </c>
      <c r="M30" s="402">
        <f t="shared" si="17"/>
        <v>0.31666666666666665</v>
      </c>
      <c r="N30" s="407">
        <f>IF(Juin!$H$47="x",AV30+Juin!$N$36,AV30)</f>
        <v>5.0666666666666647</v>
      </c>
      <c r="O30" s="408" t="str">
        <f t="shared" si="3"/>
        <v>-</v>
      </c>
      <c r="P30" s="413">
        <f t="shared" si="4"/>
        <v>4.7499999999999982</v>
      </c>
      <c r="Q30" s="410">
        <f t="shared" si="5"/>
        <v>0</v>
      </c>
      <c r="R30" s="410">
        <f t="shared" si="6"/>
        <v>0</v>
      </c>
      <c r="S30" s="410">
        <f t="shared" si="7"/>
        <v>0</v>
      </c>
      <c r="T30" s="410">
        <f t="shared" si="8"/>
        <v>0</v>
      </c>
      <c r="U30" s="402">
        <f t="shared" si="9"/>
        <v>0</v>
      </c>
      <c r="V30" s="407">
        <f>L30</f>
        <v>0</v>
      </c>
      <c r="W30" s="402">
        <f t="shared" si="10"/>
        <v>0</v>
      </c>
      <c r="X30" s="402">
        <f t="shared" si="11"/>
        <v>0</v>
      </c>
      <c r="Y30" s="401"/>
      <c r="Z30" s="401"/>
      <c r="AA30" s="411"/>
      <c r="AB30" s="420">
        <f t="shared" si="18"/>
        <v>0</v>
      </c>
      <c r="AC30" s="420">
        <f t="shared" si="19"/>
        <v>0</v>
      </c>
      <c r="AD30" s="420">
        <f t="shared" si="20"/>
        <v>0</v>
      </c>
      <c r="AE30" s="420">
        <f t="shared" si="21"/>
        <v>0</v>
      </c>
      <c r="AF30" s="421">
        <f t="shared" si="22"/>
        <v>0</v>
      </c>
      <c r="AG30" s="420">
        <f t="shared" si="23"/>
        <v>0</v>
      </c>
      <c r="AH30" s="421">
        <f t="shared" si="24"/>
        <v>0</v>
      </c>
      <c r="AI30" s="420">
        <f t="shared" si="25"/>
        <v>0</v>
      </c>
      <c r="AJ30" s="422">
        <f>IF((D30&lt;&gt;""),VLOOKUP(D30,Données!$E$36:$H$59,4,FALSE),)</f>
        <v>0</v>
      </c>
      <c r="AK30" s="422">
        <f t="shared" si="27"/>
        <v>0</v>
      </c>
      <c r="AL30" s="423">
        <f t="shared" si="28"/>
        <v>0</v>
      </c>
      <c r="AM30" s="424">
        <f t="shared" si="29"/>
        <v>0</v>
      </c>
      <c r="AN30" s="425">
        <f t="shared" si="12"/>
        <v>0</v>
      </c>
      <c r="AO30" s="422">
        <f t="shared" si="13"/>
        <v>0</v>
      </c>
      <c r="AP30" s="426">
        <f t="shared" si="30"/>
        <v>0</v>
      </c>
      <c r="AQ30" s="426">
        <f t="shared" si="31"/>
        <v>0</v>
      </c>
      <c r="AR30" s="426">
        <f t="shared" si="32"/>
        <v>0</v>
      </c>
      <c r="AS30" s="426">
        <f t="shared" si="33"/>
        <v>0</v>
      </c>
      <c r="AT30" s="424">
        <f t="shared" si="14"/>
        <v>0</v>
      </c>
      <c r="AU30" s="424">
        <f t="shared" si="15"/>
        <v>0</v>
      </c>
      <c r="AV30" s="402">
        <f>IF(Données!$H$8="x",AW30,AX30)</f>
        <v>5.0666666666666647</v>
      </c>
      <c r="AW30" s="402">
        <f t="shared" si="2"/>
        <v>2.5333333333333323</v>
      </c>
      <c r="AX30" s="402">
        <f>AX29</f>
        <v>5.0666666666666647</v>
      </c>
      <c r="AY30" s="403" t="str">
        <f t="shared" si="16"/>
        <v>Di</v>
      </c>
      <c r="AZ30" s="423">
        <f>IF((S40="O2ir")*AND(S41&lt;&gt;""),VLOOKUP(S41,Échelle!$AR$39:$AS$65,2),)</f>
        <v>0</v>
      </c>
      <c r="BA30" s="424" t="s">
        <v>31</v>
      </c>
      <c r="BB30" s="148"/>
    </row>
    <row r="31" spans="2:54" x14ac:dyDescent="0.2">
      <c r="B31" s="467" t="s">
        <v>188</v>
      </c>
      <c r="C31" s="468" t="s">
        <v>466</v>
      </c>
      <c r="D31" s="469"/>
      <c r="E31" s="469"/>
      <c r="F31" s="470"/>
      <c r="G31" s="470"/>
      <c r="H31" s="470"/>
      <c r="I31" s="470"/>
      <c r="J31" s="470"/>
      <c r="K31" s="470"/>
      <c r="L31" s="471">
        <f>(G31-F31)+(I31-H31)+(K31-J31)+AJ31+AO31</f>
        <v>0</v>
      </c>
      <c r="M31" s="471">
        <f t="shared" si="17"/>
        <v>0.31666666666666665</v>
      </c>
      <c r="N31" s="488">
        <f>IF(Juin!$H$47="x",AV31+Juin!$N$36,AV31)</f>
        <v>5.3833333333333311</v>
      </c>
      <c r="O31" s="483" t="str">
        <f t="shared" si="3"/>
        <v>-</v>
      </c>
      <c r="P31" s="473">
        <f t="shared" si="4"/>
        <v>5.0666666666666647</v>
      </c>
      <c r="Q31" s="474">
        <f t="shared" si="5"/>
        <v>0</v>
      </c>
      <c r="R31" s="474">
        <f t="shared" si="6"/>
        <v>0</v>
      </c>
      <c r="S31" s="474">
        <f t="shared" si="7"/>
        <v>0</v>
      </c>
      <c r="T31" s="474">
        <f t="shared" si="8"/>
        <v>0</v>
      </c>
      <c r="U31" s="471">
        <f t="shared" si="9"/>
        <v>0</v>
      </c>
      <c r="V31" s="488">
        <f>IF(D31="F",L31,0)</f>
        <v>0</v>
      </c>
      <c r="W31" s="471">
        <f t="shared" si="10"/>
        <v>0</v>
      </c>
      <c r="X31" s="471">
        <f t="shared" si="11"/>
        <v>0</v>
      </c>
      <c r="Y31" s="470"/>
      <c r="Z31" s="470"/>
      <c r="AA31" s="469"/>
      <c r="AB31" s="475">
        <f t="shared" si="18"/>
        <v>0</v>
      </c>
      <c r="AC31" s="475">
        <f t="shared" si="19"/>
        <v>0</v>
      </c>
      <c r="AD31" s="475">
        <f t="shared" si="20"/>
        <v>0</v>
      </c>
      <c r="AE31" s="475">
        <f t="shared" si="21"/>
        <v>0</v>
      </c>
      <c r="AF31" s="476">
        <f t="shared" si="22"/>
        <v>0</v>
      </c>
      <c r="AG31" s="475">
        <f t="shared" si="23"/>
        <v>0</v>
      </c>
      <c r="AH31" s="476">
        <f t="shared" si="24"/>
        <v>0</v>
      </c>
      <c r="AI31" s="475">
        <f t="shared" si="25"/>
        <v>0</v>
      </c>
      <c r="AJ31" s="477">
        <f>IF((D31&lt;&gt;""),VLOOKUP(D31,Données!$E$36:$H$59,4,FALSE),)</f>
        <v>0</v>
      </c>
      <c r="AK31" s="477">
        <f t="shared" si="27"/>
        <v>0</v>
      </c>
      <c r="AL31" s="478">
        <f t="shared" si="28"/>
        <v>0</v>
      </c>
      <c r="AM31" s="479">
        <f t="shared" si="29"/>
        <v>0</v>
      </c>
      <c r="AN31" s="480">
        <f t="shared" si="12"/>
        <v>0</v>
      </c>
      <c r="AO31" s="477">
        <f t="shared" si="13"/>
        <v>0</v>
      </c>
      <c r="AP31" s="481">
        <f t="shared" si="30"/>
        <v>0</v>
      </c>
      <c r="AQ31" s="481">
        <f t="shared" si="31"/>
        <v>0</v>
      </c>
      <c r="AR31" s="481">
        <f t="shared" si="32"/>
        <v>0</v>
      </c>
      <c r="AS31" s="481">
        <f t="shared" si="33"/>
        <v>0</v>
      </c>
      <c r="AT31" s="479">
        <f t="shared" si="14"/>
        <v>0</v>
      </c>
      <c r="AU31" s="479">
        <f t="shared" si="15"/>
        <v>0</v>
      </c>
      <c r="AV31" s="471">
        <f>IF(Données!$H$8="x",AW31,AX31)</f>
        <v>5.3833333333333311</v>
      </c>
      <c r="AW31" s="471">
        <f t="shared" si="2"/>
        <v>2.6916666666666655</v>
      </c>
      <c r="AX31" s="471">
        <f>IF(D31="L",AX30,(AX30+"07:36"))</f>
        <v>5.3833333333333311</v>
      </c>
      <c r="AY31" s="467" t="str">
        <f t="shared" si="16"/>
        <v>Lu</v>
      </c>
      <c r="AZ31" s="478">
        <f>IF((S40="O3")*AND(S41&lt;&gt;""),VLOOKUP(S41,Échelle!$W$39:$X$65,2),)</f>
        <v>0</v>
      </c>
      <c r="BA31" s="479" t="s">
        <v>24</v>
      </c>
      <c r="BB31" s="148"/>
    </row>
    <row r="32" spans="2:54" x14ac:dyDescent="0.2">
      <c r="B32" s="467" t="s">
        <v>176</v>
      </c>
      <c r="C32" s="468" t="s">
        <v>467</v>
      </c>
      <c r="D32" s="469"/>
      <c r="E32" s="469"/>
      <c r="F32" s="470"/>
      <c r="G32" s="470"/>
      <c r="H32" s="470"/>
      <c r="I32" s="470"/>
      <c r="J32" s="470"/>
      <c r="K32" s="470"/>
      <c r="L32" s="471">
        <f>(G32-F32)+(I32-H32)+(K32-J32)+AJ32+AO32</f>
        <v>0</v>
      </c>
      <c r="M32" s="471">
        <f t="shared" si="17"/>
        <v>0.31666666666666665</v>
      </c>
      <c r="N32" s="488">
        <f>IF(Juin!$H$47="x",AV32+Juin!$N$36,AV32)</f>
        <v>5.6999999999999975</v>
      </c>
      <c r="O32" s="483" t="str">
        <f t="shared" si="3"/>
        <v>-</v>
      </c>
      <c r="P32" s="473">
        <f t="shared" si="4"/>
        <v>5.3833333333333311</v>
      </c>
      <c r="Q32" s="474">
        <f t="shared" si="5"/>
        <v>0</v>
      </c>
      <c r="R32" s="474">
        <f t="shared" si="6"/>
        <v>0</v>
      </c>
      <c r="S32" s="474">
        <f t="shared" si="7"/>
        <v>0</v>
      </c>
      <c r="T32" s="474">
        <f t="shared" si="8"/>
        <v>0</v>
      </c>
      <c r="U32" s="471">
        <f t="shared" si="9"/>
        <v>0</v>
      </c>
      <c r="V32" s="488">
        <f>IF(D32="F",L32,0)</f>
        <v>0</v>
      </c>
      <c r="W32" s="471">
        <f t="shared" si="10"/>
        <v>0</v>
      </c>
      <c r="X32" s="471">
        <f t="shared" si="11"/>
        <v>0</v>
      </c>
      <c r="Y32" s="470"/>
      <c r="Z32" s="470"/>
      <c r="AA32" s="469"/>
      <c r="AB32" s="475">
        <f t="shared" si="18"/>
        <v>0</v>
      </c>
      <c r="AC32" s="475">
        <f t="shared" si="19"/>
        <v>0</v>
      </c>
      <c r="AD32" s="475">
        <f t="shared" si="20"/>
        <v>0</v>
      </c>
      <c r="AE32" s="475">
        <f t="shared" si="21"/>
        <v>0</v>
      </c>
      <c r="AF32" s="476">
        <f t="shared" si="22"/>
        <v>0</v>
      </c>
      <c r="AG32" s="475">
        <f t="shared" si="23"/>
        <v>0</v>
      </c>
      <c r="AH32" s="476">
        <f t="shared" si="24"/>
        <v>0</v>
      </c>
      <c r="AI32" s="475">
        <f t="shared" si="25"/>
        <v>0</v>
      </c>
      <c r="AJ32" s="477">
        <f>IF((D32&lt;&gt;""),VLOOKUP(D32,Données!$E$36:$H$59,4,FALSE),)</f>
        <v>0</v>
      </c>
      <c r="AK32" s="477">
        <f t="shared" si="27"/>
        <v>0</v>
      </c>
      <c r="AL32" s="478">
        <f t="shared" si="28"/>
        <v>0</v>
      </c>
      <c r="AM32" s="479">
        <f t="shared" si="29"/>
        <v>0</v>
      </c>
      <c r="AN32" s="480">
        <f t="shared" si="12"/>
        <v>0</v>
      </c>
      <c r="AO32" s="477">
        <f t="shared" si="13"/>
        <v>0</v>
      </c>
      <c r="AP32" s="481">
        <f t="shared" si="30"/>
        <v>0</v>
      </c>
      <c r="AQ32" s="481">
        <f t="shared" si="31"/>
        <v>0</v>
      </c>
      <c r="AR32" s="481">
        <f t="shared" si="32"/>
        <v>0</v>
      </c>
      <c r="AS32" s="481">
        <f t="shared" si="33"/>
        <v>0</v>
      </c>
      <c r="AT32" s="479">
        <f t="shared" si="14"/>
        <v>0</v>
      </c>
      <c r="AU32" s="479">
        <f t="shared" si="15"/>
        <v>0</v>
      </c>
      <c r="AV32" s="471">
        <f>IF(Données!$H$8="x",AW32,AX32)</f>
        <v>5.6999999999999975</v>
      </c>
      <c r="AW32" s="471">
        <f t="shared" si="2"/>
        <v>2.8499999999999988</v>
      </c>
      <c r="AX32" s="471">
        <f>IF(D32="L",AX31,(AX31+"07:36"))</f>
        <v>5.6999999999999975</v>
      </c>
      <c r="AY32" s="467" t="str">
        <f t="shared" si="16"/>
        <v>Ma</v>
      </c>
      <c r="AZ32" s="478">
        <f>IF((S40="O3ir")*AND(S41&lt;&gt;""),VLOOKUP(S41,Échelle!$AU$39:$AV$65,2),)</f>
        <v>0</v>
      </c>
      <c r="BA32" s="479" t="s">
        <v>32</v>
      </c>
      <c r="BB32" s="148"/>
    </row>
    <row r="33" spans="2:54" x14ac:dyDescent="0.2">
      <c r="B33" s="467" t="s">
        <v>178</v>
      </c>
      <c r="C33" s="468" t="s">
        <v>468</v>
      </c>
      <c r="D33" s="469"/>
      <c r="E33" s="469"/>
      <c r="F33" s="470"/>
      <c r="G33" s="470"/>
      <c r="H33" s="470"/>
      <c r="I33" s="470"/>
      <c r="J33" s="470"/>
      <c r="K33" s="470"/>
      <c r="L33" s="471">
        <f>(G33-F33)+(I33-H33)+(K33-J33)+AJ33+AO33</f>
        <v>0</v>
      </c>
      <c r="M33" s="471">
        <f t="shared" si="17"/>
        <v>0.31666666666666665</v>
      </c>
      <c r="N33" s="488">
        <f>IF(Juin!$H$47="x",AV33+Juin!$N$36,AV33)</f>
        <v>6.0166666666666639</v>
      </c>
      <c r="O33" s="483" t="str">
        <f t="shared" si="3"/>
        <v>-</v>
      </c>
      <c r="P33" s="473">
        <f t="shared" si="4"/>
        <v>5.6999999999999975</v>
      </c>
      <c r="Q33" s="474">
        <f t="shared" si="5"/>
        <v>0</v>
      </c>
      <c r="R33" s="474">
        <f t="shared" si="6"/>
        <v>0</v>
      </c>
      <c r="S33" s="474">
        <f t="shared" si="7"/>
        <v>0</v>
      </c>
      <c r="T33" s="474">
        <f t="shared" si="8"/>
        <v>0</v>
      </c>
      <c r="U33" s="471">
        <f t="shared" si="9"/>
        <v>0</v>
      </c>
      <c r="V33" s="488">
        <f>IF(D33="F",L33,0)</f>
        <v>0</v>
      </c>
      <c r="W33" s="471">
        <f t="shared" si="10"/>
        <v>0</v>
      </c>
      <c r="X33" s="471">
        <f t="shared" si="11"/>
        <v>0</v>
      </c>
      <c r="Y33" s="470"/>
      <c r="Z33" s="470"/>
      <c r="AA33" s="469"/>
      <c r="AB33" s="475">
        <f t="shared" si="18"/>
        <v>0</v>
      </c>
      <c r="AC33" s="475">
        <f t="shared" si="19"/>
        <v>0</v>
      </c>
      <c r="AD33" s="475">
        <f t="shared" si="20"/>
        <v>0</v>
      </c>
      <c r="AE33" s="475">
        <f t="shared" si="21"/>
        <v>0</v>
      </c>
      <c r="AF33" s="476">
        <f t="shared" si="22"/>
        <v>0</v>
      </c>
      <c r="AG33" s="475">
        <f t="shared" si="23"/>
        <v>0</v>
      </c>
      <c r="AH33" s="476">
        <f t="shared" si="24"/>
        <v>0</v>
      </c>
      <c r="AI33" s="475">
        <f t="shared" si="25"/>
        <v>0</v>
      </c>
      <c r="AJ33" s="477">
        <f>IF((D33&lt;&gt;""),VLOOKUP(D33,Données!$E$36:$H$59,4,FALSE),)</f>
        <v>0</v>
      </c>
      <c r="AK33" s="477">
        <f t="shared" si="27"/>
        <v>0</v>
      </c>
      <c r="AL33" s="478">
        <f t="shared" si="28"/>
        <v>0</v>
      </c>
      <c r="AM33" s="479">
        <f t="shared" si="29"/>
        <v>0</v>
      </c>
      <c r="AN33" s="480">
        <f t="shared" si="12"/>
        <v>0</v>
      </c>
      <c r="AO33" s="477">
        <f t="shared" si="13"/>
        <v>0</v>
      </c>
      <c r="AP33" s="481">
        <f t="shared" si="30"/>
        <v>0</v>
      </c>
      <c r="AQ33" s="481">
        <f t="shared" si="31"/>
        <v>0</v>
      </c>
      <c r="AR33" s="481">
        <f t="shared" si="32"/>
        <v>0</v>
      </c>
      <c r="AS33" s="481">
        <f t="shared" si="33"/>
        <v>0</v>
      </c>
      <c r="AT33" s="479">
        <f t="shared" si="14"/>
        <v>0</v>
      </c>
      <c r="AU33" s="479">
        <f t="shared" si="15"/>
        <v>0</v>
      </c>
      <c r="AV33" s="471">
        <f>IF(Données!$H$8="x",AW33,AX33)</f>
        <v>6.0166666666666639</v>
      </c>
      <c r="AW33" s="471">
        <f t="shared" si="2"/>
        <v>3.008333333333332</v>
      </c>
      <c r="AX33" s="471">
        <f>IF(D33="L",AX32,(AX32+"07:36"))</f>
        <v>6.0166666666666639</v>
      </c>
      <c r="AY33" s="467" t="str">
        <f t="shared" si="16"/>
        <v>Me</v>
      </c>
      <c r="AZ33" s="478">
        <f>IF((S40="O4")*AND(S41&lt;&gt;""),VLOOKUP(S41,Échelle!$Z$39:$AA$65,2),)</f>
        <v>0</v>
      </c>
      <c r="BA33" s="479" t="s">
        <v>25</v>
      </c>
      <c r="BB33" s="148"/>
    </row>
    <row r="34" spans="2:54" x14ac:dyDescent="0.2">
      <c r="B34" s="467" t="s">
        <v>180</v>
      </c>
      <c r="C34" s="468" t="s">
        <v>469</v>
      </c>
      <c r="D34" s="469"/>
      <c r="E34" s="469"/>
      <c r="F34" s="470"/>
      <c r="G34" s="470"/>
      <c r="H34" s="470"/>
      <c r="I34" s="470"/>
      <c r="J34" s="470"/>
      <c r="K34" s="470"/>
      <c r="L34" s="471">
        <f>(G34-F34)+(I34-H34)+(K34-J34)+AJ34+AO34</f>
        <v>0</v>
      </c>
      <c r="M34" s="471">
        <f t="shared" si="17"/>
        <v>0.31666666666666665</v>
      </c>
      <c r="N34" s="488">
        <f>IF(Juin!$H$47="x",AV34+Juin!$N$36,AV34)</f>
        <v>6.3333333333333304</v>
      </c>
      <c r="O34" s="483" t="str">
        <f t="shared" si="3"/>
        <v>-</v>
      </c>
      <c r="P34" s="473">
        <f t="shared" si="4"/>
        <v>6.0166666666666639</v>
      </c>
      <c r="Q34" s="474">
        <f t="shared" si="5"/>
        <v>0</v>
      </c>
      <c r="R34" s="474">
        <f t="shared" si="6"/>
        <v>0</v>
      </c>
      <c r="S34" s="474">
        <f t="shared" si="7"/>
        <v>0</v>
      </c>
      <c r="T34" s="474">
        <f t="shared" si="8"/>
        <v>0</v>
      </c>
      <c r="U34" s="471">
        <f t="shared" si="9"/>
        <v>0</v>
      </c>
      <c r="V34" s="488">
        <f>IF(D34="F",L34,0)</f>
        <v>0</v>
      </c>
      <c r="W34" s="471">
        <f t="shared" si="10"/>
        <v>0</v>
      </c>
      <c r="X34" s="471">
        <f t="shared" si="11"/>
        <v>0</v>
      </c>
      <c r="Y34" s="470"/>
      <c r="Z34" s="470"/>
      <c r="AA34" s="469"/>
      <c r="AB34" s="475">
        <f t="shared" si="18"/>
        <v>0</v>
      </c>
      <c r="AC34" s="475">
        <f t="shared" si="19"/>
        <v>0</v>
      </c>
      <c r="AD34" s="475">
        <f t="shared" si="20"/>
        <v>0</v>
      </c>
      <c r="AE34" s="475">
        <f t="shared" si="21"/>
        <v>0</v>
      </c>
      <c r="AF34" s="476">
        <f t="shared" si="22"/>
        <v>0</v>
      </c>
      <c r="AG34" s="475">
        <f t="shared" si="23"/>
        <v>0</v>
      </c>
      <c r="AH34" s="476">
        <f t="shared" si="24"/>
        <v>0</v>
      </c>
      <c r="AI34" s="475">
        <f t="shared" si="25"/>
        <v>0</v>
      </c>
      <c r="AJ34" s="477">
        <f>IF((D34&lt;&gt;""),VLOOKUP(D34,Données!$E$36:$H$59,4,FALSE),)</f>
        <v>0</v>
      </c>
      <c r="AK34" s="477">
        <f t="shared" si="27"/>
        <v>0</v>
      </c>
      <c r="AL34" s="478">
        <f t="shared" si="28"/>
        <v>0</v>
      </c>
      <c r="AM34" s="479">
        <f t="shared" si="29"/>
        <v>0</v>
      </c>
      <c r="AN34" s="480">
        <f t="shared" si="12"/>
        <v>0</v>
      </c>
      <c r="AO34" s="477">
        <f t="shared" si="13"/>
        <v>0</v>
      </c>
      <c r="AP34" s="481">
        <f t="shared" si="30"/>
        <v>0</v>
      </c>
      <c r="AQ34" s="481">
        <f t="shared" si="31"/>
        <v>0</v>
      </c>
      <c r="AR34" s="481">
        <f t="shared" si="32"/>
        <v>0</v>
      </c>
      <c r="AS34" s="481">
        <f t="shared" si="33"/>
        <v>0</v>
      </c>
      <c r="AT34" s="479">
        <f t="shared" si="14"/>
        <v>0</v>
      </c>
      <c r="AU34" s="479">
        <f t="shared" si="15"/>
        <v>0</v>
      </c>
      <c r="AV34" s="471">
        <f>IF(Données!$H$8="x",AW34,AX34)</f>
        <v>6.3333333333333304</v>
      </c>
      <c r="AW34" s="471">
        <f t="shared" si="2"/>
        <v>3.1666666666666652</v>
      </c>
      <c r="AX34" s="471">
        <f>IF(D34="L",AX33,(AX33+"07:36"))</f>
        <v>6.3333333333333304</v>
      </c>
      <c r="AY34" s="467" t="str">
        <f t="shared" si="16"/>
        <v>Je</v>
      </c>
      <c r="AZ34" s="478">
        <f>IF((S40="O4bis")*AND(S41&lt;&gt;""),VLOOKUP(S41,Échelle!$BG$39:$BH$65,2),)</f>
        <v>0</v>
      </c>
      <c r="BA34" s="479" t="s">
        <v>36</v>
      </c>
      <c r="BB34" s="148"/>
    </row>
    <row r="35" spans="2:54" x14ac:dyDescent="0.2">
      <c r="B35" s="467" t="s">
        <v>182</v>
      </c>
      <c r="C35" s="468" t="s">
        <v>470</v>
      </c>
      <c r="D35" s="469"/>
      <c r="E35" s="469"/>
      <c r="F35" s="470"/>
      <c r="G35" s="470"/>
      <c r="H35" s="470"/>
      <c r="I35" s="470"/>
      <c r="J35" s="470"/>
      <c r="K35" s="470"/>
      <c r="L35" s="471">
        <f>(G35-F35)+(I35-H35)+(K35-J35)+AJ35+AO35</f>
        <v>0</v>
      </c>
      <c r="M35" s="471">
        <f>M34+L35</f>
        <v>0.31666666666666665</v>
      </c>
      <c r="N35" s="488">
        <f>IF(Juin!$H$47="x",AV35+Juin!$N$36,AV35)</f>
        <v>6.6499999999999968</v>
      </c>
      <c r="O35" s="483" t="str">
        <f t="shared" si="3"/>
        <v>-</v>
      </c>
      <c r="P35" s="473">
        <f t="shared" si="4"/>
        <v>6.3333333333333304</v>
      </c>
      <c r="Q35" s="474">
        <f t="shared" si="5"/>
        <v>0</v>
      </c>
      <c r="R35" s="474">
        <f t="shared" si="6"/>
        <v>0</v>
      </c>
      <c r="S35" s="474">
        <f t="shared" si="7"/>
        <v>0</v>
      </c>
      <c r="T35" s="474">
        <f t="shared" si="8"/>
        <v>0</v>
      </c>
      <c r="U35" s="471">
        <f t="shared" si="9"/>
        <v>0</v>
      </c>
      <c r="V35" s="488">
        <f>IF(D35="F",L35,0)</f>
        <v>0</v>
      </c>
      <c r="W35" s="471">
        <f t="shared" si="10"/>
        <v>0</v>
      </c>
      <c r="X35" s="471">
        <f t="shared" si="11"/>
        <v>0</v>
      </c>
      <c r="Y35" s="470"/>
      <c r="Z35" s="470"/>
      <c r="AA35" s="469"/>
      <c r="AB35" s="475">
        <f t="shared" si="18"/>
        <v>0</v>
      </c>
      <c r="AC35" s="475">
        <f t="shared" si="19"/>
        <v>0</v>
      </c>
      <c r="AD35" s="475">
        <f t="shared" si="20"/>
        <v>0</v>
      </c>
      <c r="AE35" s="475">
        <f t="shared" si="21"/>
        <v>0</v>
      </c>
      <c r="AF35" s="476">
        <f t="shared" si="22"/>
        <v>0</v>
      </c>
      <c r="AG35" s="475">
        <f t="shared" si="23"/>
        <v>0</v>
      </c>
      <c r="AH35" s="476">
        <f t="shared" si="24"/>
        <v>0</v>
      </c>
      <c r="AI35" s="475">
        <f t="shared" si="25"/>
        <v>0</v>
      </c>
      <c r="AJ35" s="477">
        <f>IF((D35&lt;&gt;""),VLOOKUP(D35,Données!$E$36:$H$59,4,FALSE),)</f>
        <v>0</v>
      </c>
      <c r="AK35" s="477">
        <f t="shared" si="27"/>
        <v>0</v>
      </c>
      <c r="AL35" s="478">
        <f t="shared" si="28"/>
        <v>0</v>
      </c>
      <c r="AM35" s="479">
        <f t="shared" si="29"/>
        <v>0</v>
      </c>
      <c r="AN35" s="480">
        <f t="shared" si="12"/>
        <v>0</v>
      </c>
      <c r="AO35" s="477">
        <f t="shared" si="13"/>
        <v>0</v>
      </c>
      <c r="AP35" s="481">
        <f t="shared" si="30"/>
        <v>0</v>
      </c>
      <c r="AQ35" s="481">
        <f t="shared" si="31"/>
        <v>0</v>
      </c>
      <c r="AR35" s="481">
        <f t="shared" si="32"/>
        <v>0</v>
      </c>
      <c r="AS35" s="481">
        <f t="shared" si="33"/>
        <v>0</v>
      </c>
      <c r="AT35" s="479">
        <f t="shared" si="14"/>
        <v>0</v>
      </c>
      <c r="AU35" s="479">
        <f t="shared" si="15"/>
        <v>0</v>
      </c>
      <c r="AV35" s="471">
        <f>IF(Données!$H$8="x",AW35,AX35)</f>
        <v>6.6499999999999968</v>
      </c>
      <c r="AW35" s="471">
        <f t="shared" si="2"/>
        <v>3.3249999999999984</v>
      </c>
      <c r="AX35" s="471">
        <f>IF(D35="L",AX34,(AX34+"07:36"))</f>
        <v>6.6499999999999968</v>
      </c>
      <c r="AY35" s="467" t="str">
        <f t="shared" si="16"/>
        <v>Ve</v>
      </c>
      <c r="AZ35" s="478">
        <f>IF((S40="O4bis-ir")*AND(S41&lt;&gt;""),VLOOKUP(S41,Échelle!$AO$39:$AP$65,2),)</f>
        <v>0</v>
      </c>
      <c r="BA35" s="479" t="s">
        <v>30</v>
      </c>
      <c r="BB35" s="148"/>
    </row>
    <row r="36" spans="2:54" x14ac:dyDescent="0.2">
      <c r="B36" s="403" t="s">
        <v>184</v>
      </c>
      <c r="C36" s="412" t="s">
        <v>471</v>
      </c>
      <c r="D36" s="411"/>
      <c r="E36" s="411"/>
      <c r="F36" s="401"/>
      <c r="G36" s="401"/>
      <c r="H36" s="401"/>
      <c r="I36" s="401"/>
      <c r="J36" s="513"/>
      <c r="K36" s="513"/>
      <c r="L36" s="402">
        <f>(G36-F36)+(I36-H36)+(K36-J36)</f>
        <v>0</v>
      </c>
      <c r="M36" s="402">
        <f>M35+L36</f>
        <v>0.31666666666666665</v>
      </c>
      <c r="N36" s="407">
        <f>IF(Juin!$H$47="x",AV36+Juin!$N$36,AV36)</f>
        <v>6.6499999999999968</v>
      </c>
      <c r="O36" s="408" t="str">
        <f t="shared" si="3"/>
        <v>-</v>
      </c>
      <c r="P36" s="413">
        <f t="shared" si="4"/>
        <v>6.3333333333333304</v>
      </c>
      <c r="Q36" s="410">
        <f t="shared" si="5"/>
        <v>0</v>
      </c>
      <c r="R36" s="410">
        <f t="shared" si="6"/>
        <v>0</v>
      </c>
      <c r="S36" s="410">
        <f t="shared" si="7"/>
        <v>0</v>
      </c>
      <c r="T36" s="410">
        <f t="shared" si="8"/>
        <v>0</v>
      </c>
      <c r="U36" s="402">
        <f t="shared" si="9"/>
        <v>0</v>
      </c>
      <c r="V36" s="407">
        <f>L36</f>
        <v>0</v>
      </c>
      <c r="W36" s="402">
        <f t="shared" si="10"/>
        <v>0</v>
      </c>
      <c r="X36" s="402">
        <f t="shared" si="11"/>
        <v>0</v>
      </c>
      <c r="Y36" s="401"/>
      <c r="Z36" s="401"/>
      <c r="AA36" s="411"/>
      <c r="AB36" s="420">
        <f t="shared" si="18"/>
        <v>0</v>
      </c>
      <c r="AC36" s="420">
        <f t="shared" si="19"/>
        <v>0</v>
      </c>
      <c r="AD36" s="420">
        <f t="shared" si="20"/>
        <v>0</v>
      </c>
      <c r="AE36" s="420">
        <f t="shared" si="21"/>
        <v>0</v>
      </c>
      <c r="AF36" s="421">
        <f t="shared" si="22"/>
        <v>0</v>
      </c>
      <c r="AG36" s="420">
        <f t="shared" si="23"/>
        <v>0</v>
      </c>
      <c r="AH36" s="421">
        <f t="shared" si="24"/>
        <v>0</v>
      </c>
      <c r="AI36" s="420">
        <f t="shared" si="25"/>
        <v>0</v>
      </c>
      <c r="AJ36" s="422">
        <f>IF((D36&lt;&gt;""),VLOOKUP(D36,Données!$E$36:$H$59,4,FALSE),)</f>
        <v>0</v>
      </c>
      <c r="AK36" s="422">
        <f t="shared" si="27"/>
        <v>0</v>
      </c>
      <c r="AL36" s="423">
        <f t="shared" si="28"/>
        <v>0</v>
      </c>
      <c r="AM36" s="424">
        <f t="shared" si="29"/>
        <v>0</v>
      </c>
      <c r="AN36" s="425">
        <f t="shared" si="12"/>
        <v>0</v>
      </c>
      <c r="AO36" s="422">
        <f t="shared" si="13"/>
        <v>0</v>
      </c>
      <c r="AP36" s="426">
        <f t="shared" si="30"/>
        <v>0</v>
      </c>
      <c r="AQ36" s="426">
        <f t="shared" si="31"/>
        <v>0</v>
      </c>
      <c r="AR36" s="426">
        <f t="shared" si="32"/>
        <v>0</v>
      </c>
      <c r="AS36" s="426">
        <f t="shared" si="33"/>
        <v>0</v>
      </c>
      <c r="AT36" s="424">
        <f t="shared" si="14"/>
        <v>0</v>
      </c>
      <c r="AU36" s="424">
        <f t="shared" si="15"/>
        <v>0</v>
      </c>
      <c r="AV36" s="402">
        <f>IF(Données!$H$8="x",AW36,AX36)</f>
        <v>6.6499999999999968</v>
      </c>
      <c r="AW36" s="402">
        <f t="shared" si="2"/>
        <v>3.3249999999999984</v>
      </c>
      <c r="AX36" s="402">
        <f>AX35</f>
        <v>6.6499999999999968</v>
      </c>
      <c r="AY36" s="403" t="str">
        <f t="shared" si="16"/>
        <v>Sa</v>
      </c>
      <c r="AZ36" s="423">
        <f>IF((S40="O4ir")*AND(S41&lt;&gt;""),VLOOKUP(S41,Échelle!$AX$39:$AY$65,2),)</f>
        <v>0</v>
      </c>
      <c r="BA36" s="424" t="s">
        <v>33</v>
      </c>
      <c r="BB36" s="148"/>
    </row>
    <row r="37" spans="2:54" x14ac:dyDescent="0.2">
      <c r="B37" s="403" t="s">
        <v>186</v>
      </c>
      <c r="C37" s="412" t="s">
        <v>472</v>
      </c>
      <c r="D37" s="411"/>
      <c r="E37" s="411"/>
      <c r="F37" s="401"/>
      <c r="G37" s="401"/>
      <c r="H37" s="401"/>
      <c r="I37" s="401"/>
      <c r="J37" s="401"/>
      <c r="K37" s="401"/>
      <c r="L37" s="402">
        <f>(G37-F37)+(I37-H37)+(K37-J37)</f>
        <v>0</v>
      </c>
      <c r="M37" s="402">
        <f t="shared" si="17"/>
        <v>0.31666666666666665</v>
      </c>
      <c r="N37" s="407">
        <f>IF(Juin!$H$47="x",AV37+Juin!$N$36,AV37)</f>
        <v>6.6499999999999968</v>
      </c>
      <c r="O37" s="408" t="str">
        <f t="shared" si="3"/>
        <v>-</v>
      </c>
      <c r="P37" s="413">
        <f t="shared" si="4"/>
        <v>6.3333333333333304</v>
      </c>
      <c r="Q37" s="410">
        <f t="shared" si="5"/>
        <v>0</v>
      </c>
      <c r="R37" s="410">
        <f t="shared" si="6"/>
        <v>0</v>
      </c>
      <c r="S37" s="410">
        <f t="shared" si="7"/>
        <v>0</v>
      </c>
      <c r="T37" s="410">
        <f t="shared" si="8"/>
        <v>0</v>
      </c>
      <c r="U37" s="402">
        <f t="shared" si="9"/>
        <v>0</v>
      </c>
      <c r="V37" s="407">
        <f>L37</f>
        <v>0</v>
      </c>
      <c r="W37" s="402">
        <f t="shared" si="10"/>
        <v>0</v>
      </c>
      <c r="X37" s="402">
        <f t="shared" si="11"/>
        <v>0</v>
      </c>
      <c r="Y37" s="401"/>
      <c r="Z37" s="401"/>
      <c r="AA37" s="411"/>
      <c r="AB37" s="420">
        <f t="shared" si="18"/>
        <v>0</v>
      </c>
      <c r="AC37" s="420">
        <f t="shared" si="19"/>
        <v>0</v>
      </c>
      <c r="AD37" s="420">
        <f t="shared" si="20"/>
        <v>0</v>
      </c>
      <c r="AE37" s="420">
        <f t="shared" si="21"/>
        <v>0</v>
      </c>
      <c r="AF37" s="421">
        <f t="shared" si="22"/>
        <v>0</v>
      </c>
      <c r="AG37" s="420">
        <f t="shared" si="23"/>
        <v>0</v>
      </c>
      <c r="AH37" s="421">
        <f t="shared" si="24"/>
        <v>0</v>
      </c>
      <c r="AI37" s="420">
        <f t="shared" si="25"/>
        <v>0</v>
      </c>
      <c r="AJ37" s="422">
        <f>IF((D37&lt;&gt;""),VLOOKUP(D37,Données!$E$36:$H$59,4,FALSE),)</f>
        <v>0</v>
      </c>
      <c r="AK37" s="422">
        <f t="shared" si="27"/>
        <v>0</v>
      </c>
      <c r="AL37" s="423">
        <f t="shared" si="28"/>
        <v>0</v>
      </c>
      <c r="AM37" s="424">
        <f t="shared" si="29"/>
        <v>0</v>
      </c>
      <c r="AN37" s="425">
        <f t="shared" si="12"/>
        <v>0</v>
      </c>
      <c r="AO37" s="422">
        <f t="shared" si="13"/>
        <v>0</v>
      </c>
      <c r="AP37" s="426">
        <f t="shared" si="30"/>
        <v>0</v>
      </c>
      <c r="AQ37" s="426">
        <f t="shared" si="31"/>
        <v>0</v>
      </c>
      <c r="AR37" s="426">
        <f t="shared" si="32"/>
        <v>0</v>
      </c>
      <c r="AS37" s="426">
        <f t="shared" si="33"/>
        <v>0</v>
      </c>
      <c r="AT37" s="424">
        <f t="shared" si="14"/>
        <v>0</v>
      </c>
      <c r="AU37" s="424">
        <f t="shared" si="15"/>
        <v>0</v>
      </c>
      <c r="AV37" s="402">
        <f>IF(Données!$H$8="x",AW37,AX37)</f>
        <v>6.6499999999999968</v>
      </c>
      <c r="AW37" s="402">
        <f t="shared" si="2"/>
        <v>3.3249999999999984</v>
      </c>
      <c r="AX37" s="402">
        <f>AX36</f>
        <v>6.6499999999999968</v>
      </c>
      <c r="AY37" s="403" t="str">
        <f t="shared" si="16"/>
        <v>Di</v>
      </c>
      <c r="AZ37" s="423">
        <f>IF((S40="O5")*AND(S41&lt;&gt;""),VLOOKUP(S41,Échelle!$AC$39:$AD$65,2),)</f>
        <v>0</v>
      </c>
      <c r="BA37" s="424" t="s">
        <v>26</v>
      </c>
      <c r="BB37" s="148"/>
    </row>
    <row r="38" spans="2:54" x14ac:dyDescent="0.2">
      <c r="AB38" s="200">
        <f t="shared" ref="AB38:AI38" si="39">SUM(AB7:AB37)</f>
        <v>0</v>
      </c>
      <c r="AC38" s="200">
        <f t="shared" si="39"/>
        <v>0</v>
      </c>
      <c r="AD38" s="200">
        <f t="shared" si="39"/>
        <v>0</v>
      </c>
      <c r="AE38" s="200">
        <f t="shared" si="39"/>
        <v>0</v>
      </c>
      <c r="AF38" s="200">
        <f t="shared" si="39"/>
        <v>0</v>
      </c>
      <c r="AG38" s="200">
        <f t="shared" si="39"/>
        <v>0</v>
      </c>
      <c r="AH38" s="200">
        <f t="shared" si="39"/>
        <v>0</v>
      </c>
      <c r="AI38" s="200">
        <f t="shared" si="39"/>
        <v>0</v>
      </c>
      <c r="AK38" s="200">
        <f>SUM(AK7:AK37)</f>
        <v>0</v>
      </c>
      <c r="AM38" s="4">
        <f>SUM(AM7:AM37)+AT38</f>
        <v>0</v>
      </c>
      <c r="AN38" s="39"/>
      <c r="AO38" s="7"/>
      <c r="AP38" s="4">
        <f>SUM(AP7:AP37)</f>
        <v>0</v>
      </c>
      <c r="AQ38" s="4">
        <f>SUM(AQ7:AQ37)</f>
        <v>0</v>
      </c>
      <c r="AR38" s="4">
        <f>SUM(AR7:AR37)</f>
        <v>0</v>
      </c>
      <c r="AS38" s="4">
        <f>SUM(AS7:AS37)</f>
        <v>0</v>
      </c>
      <c r="AT38" s="4">
        <f>SUM(AT7:AT37)</f>
        <v>0</v>
      </c>
      <c r="AU38" s="4">
        <f>SUM(AU7:AU37)+AT38</f>
        <v>0</v>
      </c>
      <c r="AW38" s="28"/>
      <c r="AZ38" s="7">
        <f>IF((S40="O5ir")*AND(S41&lt;&gt;""),VLOOKUP(S41,Échelle!$BA$39:$BB$65,2),)</f>
        <v>0</v>
      </c>
      <c r="BA38" s="4" t="s">
        <v>34</v>
      </c>
      <c r="BB38" s="4"/>
    </row>
    <row r="39" spans="2:54" x14ac:dyDescent="0.2">
      <c r="C39" s="35" t="s">
        <v>99</v>
      </c>
      <c r="D39" s="61"/>
      <c r="E39" s="61"/>
      <c r="F39" s="35"/>
      <c r="G39" s="35"/>
      <c r="H39" s="35"/>
      <c r="W39" s="361" t="s">
        <v>215</v>
      </c>
      <c r="X39" s="362"/>
      <c r="Z39" s="211" t="s">
        <v>216</v>
      </c>
      <c r="AA39" s="387" t="s">
        <v>217</v>
      </c>
      <c r="AB39" s="200">
        <f t="shared" ref="AB39:AI39" si="40">IF((MINUTE(AB38)&gt;=30),(AB38+0.041666667),AB38)</f>
        <v>0</v>
      </c>
      <c r="AC39" s="200">
        <f t="shared" si="40"/>
        <v>0</v>
      </c>
      <c r="AD39" s="200">
        <f t="shared" si="40"/>
        <v>0</v>
      </c>
      <c r="AE39" s="200">
        <f t="shared" si="40"/>
        <v>0</v>
      </c>
      <c r="AF39" s="200">
        <f t="shared" si="40"/>
        <v>0</v>
      </c>
      <c r="AG39" s="200">
        <f t="shared" si="40"/>
        <v>0</v>
      </c>
      <c r="AH39" s="200">
        <f t="shared" si="40"/>
        <v>0</v>
      </c>
      <c r="AI39" s="200">
        <f t="shared" si="40"/>
        <v>0</v>
      </c>
      <c r="AK39" s="200">
        <f>IF((MINUTE(AK38)&gt;=30),(AK38+0.041666667),AK38)</f>
        <v>0</v>
      </c>
      <c r="AM39" s="97">
        <f>AM38*(6.7*AA40)</f>
        <v>0</v>
      </c>
      <c r="AN39" s="39">
        <f>SUM(AN7:AN37)</f>
        <v>0</v>
      </c>
      <c r="AO39" s="7"/>
      <c r="AP39" s="4"/>
      <c r="AQ39" s="4"/>
      <c r="AR39" s="4"/>
      <c r="AS39" s="4"/>
      <c r="AT39" s="4"/>
      <c r="AU39" s="4"/>
      <c r="AW39" s="28"/>
      <c r="AZ39" s="7">
        <f>IF((S40="O6")*AND(S41&lt;&gt;""),VLOOKUP(S41,Échelle!$AF$39:$AG$65,2),)</f>
        <v>0</v>
      </c>
      <c r="BA39" s="4" t="s">
        <v>27</v>
      </c>
      <c r="BB39" s="4"/>
    </row>
    <row r="40" spans="2:54" x14ac:dyDescent="0.2">
      <c r="C40" s="62" t="s">
        <v>218</v>
      </c>
      <c r="D40" s="63"/>
      <c r="E40" s="63"/>
      <c r="F40" s="65"/>
      <c r="G40" s="64"/>
      <c r="H40" s="41">
        <f>Juin!$H$44</f>
        <v>33</v>
      </c>
      <c r="J40" s="12" t="s">
        <v>473</v>
      </c>
      <c r="K40" s="13"/>
      <c r="L40" s="14"/>
      <c r="M40" s="13"/>
      <c r="N40" s="22"/>
      <c r="O40" s="13"/>
      <c r="P40" s="14"/>
      <c r="Q40" s="14"/>
      <c r="R40" s="24"/>
      <c r="S40" s="161" t="s">
        <v>14</v>
      </c>
      <c r="T40" s="359" t="s">
        <v>220</v>
      </c>
      <c r="U40" s="360"/>
      <c r="V40" s="360"/>
      <c r="W40" s="268">
        <v>1</v>
      </c>
      <c r="X40" s="267" t="s">
        <v>221</v>
      </c>
      <c r="Z40" s="214">
        <v>1.7758</v>
      </c>
      <c r="AA40" s="388">
        <f>Z40</f>
        <v>1.7758</v>
      </c>
      <c r="AB40" s="200">
        <f t="shared" ref="AB40:AI40" si="41">IF(MINUTE(AB39)&gt;0,FLOOR(AB39,0.041666667),AB39)</f>
        <v>0</v>
      </c>
      <c r="AC40" s="200">
        <f t="shared" si="41"/>
        <v>0</v>
      </c>
      <c r="AD40" s="200">
        <f t="shared" si="41"/>
        <v>0</v>
      </c>
      <c r="AE40" s="200">
        <f t="shared" si="41"/>
        <v>0</v>
      </c>
      <c r="AF40" s="200">
        <f t="shared" si="41"/>
        <v>0</v>
      </c>
      <c r="AG40" s="200">
        <f t="shared" si="41"/>
        <v>0</v>
      </c>
      <c r="AH40" s="200">
        <f t="shared" si="41"/>
        <v>0</v>
      </c>
      <c r="AI40" s="200">
        <f t="shared" si="41"/>
        <v>0</v>
      </c>
      <c r="AK40" s="222">
        <f>IF(MINUTE(AK39)&gt;0,FLOOR(AK39,0.041666667),AK39)</f>
        <v>0</v>
      </c>
      <c r="AL40" s="4"/>
      <c r="AM40" s="4"/>
      <c r="AO40" s="4"/>
      <c r="AP40" s="4"/>
      <c r="AQ40" s="4"/>
      <c r="AR40" s="4"/>
      <c r="AS40" s="4"/>
      <c r="AT40" s="4"/>
      <c r="AU40" s="4"/>
      <c r="AZ40" s="7">
        <f>IF((S40="O6ir")*AND(S41&lt;&gt;""),VLOOKUP(S41,Échelle!$BD$39:$BE$65,2),)</f>
        <v>0</v>
      </c>
      <c r="BA40" s="4" t="s">
        <v>35</v>
      </c>
      <c r="BB40" s="4"/>
    </row>
    <row r="41" spans="2:54" ht="13.5" thickBot="1" x14ac:dyDescent="0.25">
      <c r="C41" s="62" t="s">
        <v>222</v>
      </c>
      <c r="D41" s="63"/>
      <c r="E41" s="63"/>
      <c r="F41" s="65"/>
      <c r="G41" s="64"/>
      <c r="H41" s="118">
        <v>0</v>
      </c>
      <c r="J41" s="15" t="s">
        <v>474</v>
      </c>
      <c r="K41" s="16"/>
      <c r="L41" s="17"/>
      <c r="M41" s="16"/>
      <c r="N41" s="16"/>
      <c r="O41" s="16"/>
      <c r="P41" s="17"/>
      <c r="Q41" s="17"/>
      <c r="R41" s="25"/>
      <c r="S41" s="162">
        <v>29</v>
      </c>
      <c r="T41" s="363">
        <f>AZ44</f>
        <v>33124</v>
      </c>
      <c r="U41" s="364"/>
      <c r="V41" s="365"/>
      <c r="W41" s="317">
        <v>21822</v>
      </c>
      <c r="X41" s="317">
        <v>21498.68</v>
      </c>
      <c r="Z41" s="47"/>
      <c r="AA41" s="47"/>
      <c r="AF41" s="7"/>
      <c r="AG41" s="123"/>
      <c r="AH41" s="13" t="s">
        <v>229</v>
      </c>
      <c r="AI41" s="13"/>
      <c r="AJ41" s="124"/>
      <c r="AK41" s="114" t="s">
        <v>231</v>
      </c>
      <c r="AL41" s="13"/>
      <c r="AM41" s="124"/>
      <c r="AP41" s="4"/>
      <c r="AQ41" s="4"/>
      <c r="AR41" s="4"/>
      <c r="AS41" s="4"/>
      <c r="AT41" s="4"/>
      <c r="AU41" s="4"/>
      <c r="AZ41" s="7">
        <f>IF((S40="O7")*AND(S41&lt;&gt;""),VLOOKUP(S41,Échelle!$AI$39:$AJ$65,2),)</f>
        <v>0</v>
      </c>
      <c r="BA41" s="4" t="s">
        <v>28</v>
      </c>
      <c r="BB41" s="2"/>
    </row>
    <row r="42" spans="2:54" ht="13.5" thickTop="1" x14ac:dyDescent="0.2">
      <c r="C42" s="62" t="s">
        <v>224</v>
      </c>
      <c r="D42" s="228"/>
      <c r="E42" s="228"/>
      <c r="F42" s="144"/>
      <c r="G42" s="144"/>
      <c r="H42" s="115">
        <f>AN39</f>
        <v>0</v>
      </c>
      <c r="I42" s="45"/>
      <c r="J42" s="18" t="s">
        <v>225</v>
      </c>
      <c r="K42" s="4"/>
      <c r="L42" s="98"/>
      <c r="M42" s="223">
        <f>AK40</f>
        <v>0</v>
      </c>
      <c r="N42" s="35" t="s">
        <v>226</v>
      </c>
      <c r="O42" s="75"/>
      <c r="P42" s="47"/>
      <c r="Q42" s="47"/>
      <c r="R42" s="47"/>
      <c r="S42" s="114"/>
      <c r="T42" s="116"/>
      <c r="U42" s="158">
        <f>IF(X3="x",(M42*AK43/0.041666667),0)</f>
        <v>0</v>
      </c>
      <c r="V42" s="26" t="s">
        <v>227</v>
      </c>
      <c r="W42" s="160">
        <f>IF(Z3="x",(M42*AH43/0.041666667),0)</f>
        <v>0</v>
      </c>
      <c r="X42" s="26" t="s">
        <v>227</v>
      </c>
      <c r="Z42" s="216" t="s">
        <v>228</v>
      </c>
      <c r="AA42" s="217"/>
      <c r="AF42" s="97"/>
      <c r="AG42" s="281"/>
      <c r="AH42" s="21">
        <f>X41*1.2434/1850</f>
        <v>14.449437141621623</v>
      </c>
      <c r="AI42" s="21"/>
      <c r="AJ42" s="48"/>
      <c r="AK42" s="18">
        <f>T41*AA40/1850</f>
        <v>31.795459027027029</v>
      </c>
      <c r="AL42" s="21" t="s">
        <v>230</v>
      </c>
      <c r="AM42" s="48"/>
      <c r="AP42" s="4"/>
      <c r="AQ42" s="4"/>
      <c r="AR42" s="4"/>
      <c r="AS42" s="4"/>
      <c r="AT42" s="4"/>
      <c r="AU42" s="4"/>
      <c r="AZ42" s="7">
        <f>IF((S40="O8")*AND(S41&lt;&gt;""),VLOOKUP(S41,Échelle!$AL$39:$AM$68,2),)</f>
        <v>0</v>
      </c>
      <c r="BA42" s="4" t="s">
        <v>29</v>
      </c>
      <c r="BB42" s="2"/>
    </row>
    <row r="43" spans="2:54" x14ac:dyDescent="0.2">
      <c r="C43" s="62" t="s">
        <v>232</v>
      </c>
      <c r="D43" s="63"/>
      <c r="E43" s="63"/>
      <c r="F43" s="65"/>
      <c r="G43" s="303" t="s">
        <v>233</v>
      </c>
      <c r="H43" s="41">
        <f>AB43+(AB44/2)+(AB45/2)</f>
        <v>0</v>
      </c>
      <c r="J43" s="18" t="s">
        <v>234</v>
      </c>
      <c r="K43" s="4"/>
      <c r="L43" s="47"/>
      <c r="M43" s="224">
        <f>IF(Z3="x",AD40,)</f>
        <v>0</v>
      </c>
      <c r="N43" s="35" t="s">
        <v>226</v>
      </c>
      <c r="O43" s="75"/>
      <c r="P43" s="47"/>
      <c r="Q43" s="47"/>
      <c r="R43" s="47"/>
      <c r="S43" s="18"/>
      <c r="T43" s="103"/>
      <c r="U43" s="158"/>
      <c r="V43" s="26"/>
      <c r="W43" s="160">
        <f>IF(Z3="x",(M43*AH51/0.041666667),0)</f>
        <v>0</v>
      </c>
      <c r="X43" s="26"/>
      <c r="Z43" s="218" t="s">
        <v>235</v>
      </c>
      <c r="AA43" s="219"/>
      <c r="AB43" s="4">
        <f>COUNTIF(AL7:AL37,"1")</f>
        <v>0</v>
      </c>
      <c r="AD43" s="4">
        <f>M46*78</f>
        <v>0</v>
      </c>
      <c r="AG43" s="282" t="s">
        <v>155</v>
      </c>
      <c r="AH43" s="21">
        <f>AH42*0.9645*AK49/100*1.45</f>
        <v>9.3966730714961653</v>
      </c>
      <c r="AI43" s="21"/>
      <c r="AJ43" s="48"/>
      <c r="AK43" s="279">
        <f>(AK42*0.9645)*AK49/100</f>
        <v>14.260024907678918</v>
      </c>
      <c r="AL43" s="20" t="s">
        <v>236</v>
      </c>
      <c r="AM43" s="55"/>
      <c r="AP43" s="4"/>
      <c r="AQ43" s="4"/>
      <c r="AR43" s="4"/>
      <c r="AS43" s="4"/>
      <c r="AT43" s="4"/>
      <c r="AU43" s="4"/>
      <c r="AZ43" s="7">
        <f>IF((S40=Échelle!CB3)*AND(S41&lt;&gt;""),VLOOKUP(S41,Échelle!$CB$5:$CC$38,2),)</f>
        <v>0</v>
      </c>
      <c r="BA43" s="4" t="s">
        <v>237</v>
      </c>
      <c r="BB43" s="2"/>
    </row>
    <row r="44" spans="2:54" x14ac:dyDescent="0.2">
      <c r="C44" s="304"/>
      <c r="D44" s="66"/>
      <c r="E44" s="66"/>
      <c r="F44" s="67"/>
      <c r="G44" s="68"/>
      <c r="H44" s="73"/>
      <c r="J44" s="18" t="s">
        <v>238</v>
      </c>
      <c r="M44" s="224">
        <f>IF(X3="x",AF40,)</f>
        <v>0</v>
      </c>
      <c r="N44" s="35" t="s">
        <v>226</v>
      </c>
      <c r="O44" s="21"/>
      <c r="P44" s="21"/>
      <c r="Q44" s="21"/>
      <c r="R44" s="21"/>
      <c r="S44" s="18"/>
      <c r="T44" s="103"/>
      <c r="U44" s="158">
        <f>IF(X3="x",(M44*AK51/0.041666667),0)</f>
        <v>0</v>
      </c>
      <c r="V44" s="26" t="s">
        <v>227</v>
      </c>
      <c r="W44" s="160"/>
      <c r="X44" s="26" t="s">
        <v>227</v>
      </c>
      <c r="Z44" s="221">
        <f>AK48</f>
        <v>53.5</v>
      </c>
      <c r="AA44" s="220"/>
      <c r="AB44" s="4">
        <f>COUNTIF(AL7:AL37,"2")</f>
        <v>0</v>
      </c>
      <c r="AD44" s="4">
        <f>M47*23</f>
        <v>0</v>
      </c>
      <c r="AG44" s="19" t="s">
        <v>239</v>
      </c>
      <c r="AH44" s="197">
        <f>(W41*1.2434/1850)*0.009645*AK49</f>
        <v>6.5779242955345953</v>
      </c>
      <c r="AI44" s="197"/>
      <c r="AJ44" s="55"/>
      <c r="AK44" s="4">
        <v>1.24</v>
      </c>
      <c r="AL44" s="4" t="s">
        <v>240</v>
      </c>
      <c r="AP44" s="4"/>
      <c r="AQ44" s="4"/>
      <c r="AR44" s="4"/>
      <c r="AS44" s="4"/>
      <c r="AT44" s="4"/>
      <c r="AU44" s="4"/>
      <c r="AZ44" s="4">
        <f>SUM(AZ7:AZ43)</f>
        <v>33124</v>
      </c>
      <c r="BB44" s="2"/>
    </row>
    <row r="45" spans="2:54" x14ac:dyDescent="0.2">
      <c r="C45" s="69" t="s">
        <v>241</v>
      </c>
      <c r="D45" s="70"/>
      <c r="E45" s="70"/>
      <c r="F45" s="71"/>
      <c r="G45" s="72"/>
      <c r="H45" s="74">
        <f>H40-H43+H41+H42</f>
        <v>33</v>
      </c>
      <c r="J45" s="18" t="s">
        <v>242</v>
      </c>
      <c r="M45" s="224">
        <f>IF(X3="x",AG40,)</f>
        <v>0</v>
      </c>
      <c r="N45" s="35" t="s">
        <v>226</v>
      </c>
      <c r="O45" s="21"/>
      <c r="P45" s="21"/>
      <c r="Q45" s="21"/>
      <c r="R45" s="21"/>
      <c r="S45" s="18"/>
      <c r="T45" s="103"/>
      <c r="U45" s="158">
        <f>IF(X3="x",(M45*AK52/0.041666667),0)</f>
        <v>0</v>
      </c>
      <c r="V45" s="26" t="s">
        <v>227</v>
      </c>
      <c r="W45" s="160"/>
      <c r="X45" s="26" t="s">
        <v>227</v>
      </c>
      <c r="Y45" s="47"/>
      <c r="Z45" s="47"/>
      <c r="AA45" s="47"/>
      <c r="AB45" s="4">
        <f>COUNTIF(AL7:AL37,"7")</f>
        <v>0</v>
      </c>
      <c r="AG45" s="4"/>
      <c r="AH45" s="4"/>
      <c r="AI45" s="4"/>
      <c r="AK45" s="4">
        <v>2.48</v>
      </c>
      <c r="AL45" s="4" t="s">
        <v>169</v>
      </c>
      <c r="BB45" s="2"/>
    </row>
    <row r="46" spans="2:54" x14ac:dyDescent="0.2">
      <c r="J46" s="18" t="s">
        <v>243</v>
      </c>
      <c r="K46" s="4"/>
      <c r="L46" s="47"/>
      <c r="M46" s="100">
        <f>COUNTIF(Q7:Q37,"1")</f>
        <v>0</v>
      </c>
      <c r="N46" s="18" t="s">
        <v>244</v>
      </c>
      <c r="O46" s="4"/>
      <c r="P46" s="47"/>
      <c r="Q46" s="47"/>
      <c r="R46" s="47">
        <f>COUNTIF(Q7:Q37,"2")</f>
        <v>0</v>
      </c>
      <c r="S46" s="18"/>
      <c r="T46" s="103"/>
      <c r="U46" s="158">
        <f>IF(X3="x",(M46*AK45*AA40+(R46*AA40*6.2)),0)</f>
        <v>0</v>
      </c>
      <c r="V46" s="26" t="s">
        <v>227</v>
      </c>
      <c r="W46" s="158">
        <f>IF(Z3="x",(M46*AK45*AA40+(R46*AA40*6.2)),0)</f>
        <v>0</v>
      </c>
      <c r="X46" s="26" t="s">
        <v>227</v>
      </c>
      <c r="Y46" s="47"/>
      <c r="Z46" s="47"/>
      <c r="AA46" s="47"/>
      <c r="AB46" s="4" t="s">
        <v>375</v>
      </c>
      <c r="AC46" s="4"/>
      <c r="AF46" s="4">
        <f>M51*23</f>
        <v>0</v>
      </c>
      <c r="AG46" s="4"/>
      <c r="AH46" s="4"/>
      <c r="AI46" s="4"/>
      <c r="AK46" s="4">
        <v>2.48</v>
      </c>
      <c r="AL46" s="4" t="s">
        <v>170</v>
      </c>
      <c r="BB46" s="2"/>
    </row>
    <row r="47" spans="2:54" x14ac:dyDescent="0.2">
      <c r="C47" s="35" t="s">
        <v>306</v>
      </c>
      <c r="F47" s="4"/>
      <c r="G47" s="109" t="s">
        <v>307</v>
      </c>
      <c r="H47" s="109" t="s">
        <v>308</v>
      </c>
      <c r="J47" s="18" t="s">
        <v>249</v>
      </c>
      <c r="K47" s="21"/>
      <c r="L47" s="47"/>
      <c r="M47" s="100">
        <f>COUNTIF(R7:R37,"1")</f>
        <v>0</v>
      </c>
      <c r="N47" s="18" t="s">
        <v>250</v>
      </c>
      <c r="O47" s="21"/>
      <c r="P47" s="47"/>
      <c r="Q47" s="47"/>
      <c r="R47" s="47">
        <f>COUNTIF(R7:R37,"2")</f>
        <v>0</v>
      </c>
      <c r="S47" s="18"/>
      <c r="T47" s="103"/>
      <c r="U47" s="158">
        <f>IF(X3="x",(M47*AK46*AA40+(R47*AA40*6.2)),0)</f>
        <v>0</v>
      </c>
      <c r="V47" s="26" t="s">
        <v>227</v>
      </c>
      <c r="W47" s="158">
        <f>IF(Z3="x",(M47*AK46*AA40+(R47*AA40*6.2)),0)</f>
        <v>0</v>
      </c>
      <c r="X47" s="26" t="s">
        <v>227</v>
      </c>
      <c r="Y47" s="47"/>
      <c r="Z47" s="47"/>
      <c r="AA47" s="47"/>
      <c r="AB47" s="7">
        <f>IF((M37-N37-U4)&gt;0,(M37-N37-U4-G55),)</f>
        <v>0</v>
      </c>
      <c r="AC47" s="7">
        <f>IF((MINUTE(AB47)&gt;=30),(0.041666667),)</f>
        <v>0</v>
      </c>
      <c r="AD47" s="7">
        <f>AB47+AC47</f>
        <v>0</v>
      </c>
      <c r="AE47" s="7">
        <f>AD47</f>
        <v>0</v>
      </c>
      <c r="AG47" s="4"/>
      <c r="AH47" s="4"/>
      <c r="AI47" s="4"/>
      <c r="AK47" s="4">
        <v>1.74</v>
      </c>
      <c r="AL47" s="4" t="s">
        <v>251</v>
      </c>
      <c r="BB47" s="2"/>
    </row>
    <row r="48" spans="2:54" x14ac:dyDescent="0.2">
      <c r="C48" s="35" t="s">
        <v>252</v>
      </c>
      <c r="G48" s="127"/>
      <c r="H48" s="127" t="s">
        <v>117</v>
      </c>
      <c r="J48" s="18" t="s">
        <v>253</v>
      </c>
      <c r="K48" s="21"/>
      <c r="L48" s="150"/>
      <c r="M48" s="100">
        <f>COUNTIF(S7:S37,"1")</f>
        <v>0</v>
      </c>
      <c r="N48" s="18" t="s">
        <v>254</v>
      </c>
      <c r="O48" s="4"/>
      <c r="P48" s="4"/>
      <c r="Q48" s="21"/>
      <c r="R48" s="39">
        <f>COUNTIF(S7:S37,"2")</f>
        <v>0</v>
      </c>
      <c r="S48" s="18"/>
      <c r="T48" s="103"/>
      <c r="U48" s="158">
        <f>IF(X3="x",(M48*AK47*AA40+(R48*AA40*3.48)),0)</f>
        <v>0</v>
      </c>
      <c r="V48" s="26" t="s">
        <v>227</v>
      </c>
      <c r="W48" s="158">
        <f>IF(Z3="x",(M48*AK47*AA40+(R48*AA40*3.48)),0)</f>
        <v>0</v>
      </c>
      <c r="X48" s="26" t="s">
        <v>227</v>
      </c>
      <c r="AB48" s="7"/>
      <c r="AC48" s="7"/>
      <c r="AD48" s="7"/>
      <c r="AE48" s="7">
        <f>HOUR(AE47)</f>
        <v>0</v>
      </c>
      <c r="AG48" s="4"/>
      <c r="AH48" s="4"/>
      <c r="AI48" s="4"/>
      <c r="AK48" s="4">
        <f>VLOOKUP(AS48,Données!$F$74:$H$85,3)</f>
        <v>53.5</v>
      </c>
      <c r="AL48" s="4" t="s">
        <v>255</v>
      </c>
      <c r="AP48" s="385">
        <f>T41*Z40</f>
        <v>58821.599200000004</v>
      </c>
      <c r="AQ48" s="2">
        <f>AP48*0.075</f>
        <v>4411.6199400000005</v>
      </c>
      <c r="AR48" s="2">
        <f>AP48*0.0355</f>
        <v>2088.1667716000002</v>
      </c>
      <c r="AS48" s="225">
        <f>AP48-AQ48-AR48</f>
        <v>52321.812488400006</v>
      </c>
      <c r="BB48" s="2"/>
    </row>
    <row r="49" spans="3:54" x14ac:dyDescent="0.2">
      <c r="J49" s="18" t="s">
        <v>256</v>
      </c>
      <c r="K49" s="21"/>
      <c r="L49" s="150"/>
      <c r="M49" s="100">
        <f>COUNTIF(T7:T37,"1")</f>
        <v>0</v>
      </c>
      <c r="N49" s="18" t="s">
        <v>257</v>
      </c>
      <c r="O49" s="4"/>
      <c r="P49" s="4"/>
      <c r="Q49" s="21"/>
      <c r="R49" s="39">
        <f>COUNTIF(T7:T37,"2")</f>
        <v>0</v>
      </c>
      <c r="S49" s="18"/>
      <c r="T49" s="103"/>
      <c r="U49" s="158">
        <f>IF(X3="x",(M49*AK44*AA40+(R49*AA40*2.48)),0)</f>
        <v>0</v>
      </c>
      <c r="V49" s="26" t="s">
        <v>227</v>
      </c>
      <c r="W49" s="158">
        <f>IF(Z3="x",(M49*AK44*AA40+(R49*AA40*2.48)),0)</f>
        <v>0</v>
      </c>
      <c r="X49" s="26" t="s">
        <v>227</v>
      </c>
      <c r="AB49" s="7">
        <f>HOUR(AD47)*0.041666667</f>
        <v>0</v>
      </c>
      <c r="AD49" s="7"/>
      <c r="AG49" s="4"/>
      <c r="AH49" s="4"/>
      <c r="AI49" s="4"/>
      <c r="AK49" s="4">
        <f>100-AK48</f>
        <v>46.5</v>
      </c>
      <c r="AL49" s="4" t="s">
        <v>258</v>
      </c>
      <c r="BB49" s="2"/>
    </row>
    <row r="50" spans="3:54" x14ac:dyDescent="0.2">
      <c r="C50" s="4" t="s">
        <v>259</v>
      </c>
      <c r="F50" s="4"/>
      <c r="G50" s="4"/>
      <c r="J50" s="18" t="s">
        <v>260</v>
      </c>
      <c r="K50" s="4"/>
      <c r="L50" s="4"/>
      <c r="M50" s="224">
        <f>IF(AND(O37="+",G48="x",AB47&gt;=0),AB51,0)</f>
        <v>0</v>
      </c>
      <c r="N50" s="35" t="s">
        <v>226</v>
      </c>
      <c r="O50" s="75"/>
      <c r="P50" s="47"/>
      <c r="Q50" s="47"/>
      <c r="R50" s="47"/>
      <c r="S50" s="18"/>
      <c r="T50" s="103"/>
      <c r="U50" s="158">
        <f>IF(X3="x",(M50*AK43/0.041666667),0)</f>
        <v>0</v>
      </c>
      <c r="V50" s="26" t="s">
        <v>227</v>
      </c>
      <c r="W50" s="160">
        <f>IF(Z3="x",(M50*AH44/0.041666667),0)</f>
        <v>0</v>
      </c>
      <c r="X50" s="26" t="s">
        <v>227</v>
      </c>
      <c r="AB50" s="7"/>
      <c r="AD50" s="96"/>
      <c r="AG50" s="4"/>
      <c r="AH50" s="4"/>
      <c r="AI50" s="4"/>
      <c r="BB50" s="2"/>
    </row>
    <row r="51" spans="3:54" x14ac:dyDescent="0.2">
      <c r="C51" s="4" t="s">
        <v>261</v>
      </c>
      <c r="F51" s="4"/>
      <c r="G51" s="215">
        <v>0</v>
      </c>
      <c r="I51" s="4"/>
      <c r="J51" s="18" t="s">
        <v>262</v>
      </c>
      <c r="K51" s="21"/>
      <c r="L51" s="21"/>
      <c r="M51" s="177">
        <f>AM38</f>
        <v>0</v>
      </c>
      <c r="N51" s="188" t="s">
        <v>263</v>
      </c>
      <c r="O51" s="153"/>
      <c r="P51" s="47"/>
      <c r="Q51" s="47"/>
      <c r="R51" s="47"/>
      <c r="S51" s="18"/>
      <c r="T51" s="153"/>
      <c r="U51" s="158">
        <f>IF(X3="x",AM39,0)</f>
        <v>0</v>
      </c>
      <c r="V51" s="26" t="s">
        <v>227</v>
      </c>
      <c r="W51" s="160">
        <f>IF(Z3="x",AM39,0)</f>
        <v>0</v>
      </c>
      <c r="X51" s="26" t="s">
        <v>227</v>
      </c>
      <c r="AB51" s="7">
        <f>IF(MINUTE(AB47)&gt;0,FLOOR(AE47,0.041666667),AE47)</f>
        <v>0</v>
      </c>
      <c r="AC51" s="96"/>
      <c r="AD51" s="96"/>
      <c r="AF51" s="7"/>
      <c r="AG51" s="4" t="s">
        <v>161</v>
      </c>
      <c r="AH51" s="4">
        <f>AH42*0.00325*0.9645*AK49</f>
        <v>2.1061508608525887</v>
      </c>
      <c r="AI51" s="4"/>
      <c r="AK51" s="97">
        <f>AK43/100*20</f>
        <v>2.8520049815357833</v>
      </c>
      <c r="AL51" s="4" t="s">
        <v>264</v>
      </c>
      <c r="BB51" s="2"/>
    </row>
    <row r="52" spans="3:54" x14ac:dyDescent="0.2">
      <c r="C52" s="245" t="s">
        <v>265</v>
      </c>
      <c r="J52" s="18" t="s">
        <v>266</v>
      </c>
      <c r="K52" s="47"/>
      <c r="L52" s="21"/>
      <c r="M52" s="100">
        <f>SUM(AA7:AA37)</f>
        <v>0</v>
      </c>
      <c r="N52" s="188" t="s">
        <v>267</v>
      </c>
      <c r="O52" s="21"/>
      <c r="P52" s="21"/>
      <c r="Q52" s="21"/>
      <c r="R52" s="21"/>
      <c r="S52" s="18"/>
      <c r="T52" s="187"/>
      <c r="U52" s="158">
        <f>IF(X3="x",(M52*Données!$T$13),0)</f>
        <v>0</v>
      </c>
      <c r="V52" s="26" t="s">
        <v>227</v>
      </c>
      <c r="W52" s="160">
        <f>IF(Z3="x",M52*0.2,0)</f>
        <v>0</v>
      </c>
      <c r="X52" s="26" t="s">
        <v>227</v>
      </c>
      <c r="AK52" s="97">
        <f>AK43/100*35</f>
        <v>4.9910087176876212</v>
      </c>
      <c r="AL52" s="4" t="s">
        <v>268</v>
      </c>
      <c r="BB52" s="2"/>
    </row>
    <row r="53" spans="3:54" x14ac:dyDescent="0.2">
      <c r="J53" s="18" t="s">
        <v>269</v>
      </c>
      <c r="K53" s="21"/>
      <c r="L53" s="21"/>
      <c r="M53" s="224">
        <f>AH54</f>
        <v>0</v>
      </c>
      <c r="N53" s="35" t="s">
        <v>226</v>
      </c>
      <c r="O53" s="21"/>
      <c r="P53" s="21"/>
      <c r="Q53" s="21"/>
      <c r="R53" s="21"/>
      <c r="S53" s="18"/>
      <c r="T53" s="153"/>
      <c r="U53" s="158">
        <f>IF(X3="x",(M53*AK54/0.041666667),0)</f>
        <v>0</v>
      </c>
      <c r="V53" s="26" t="s">
        <v>227</v>
      </c>
      <c r="W53" s="158">
        <f>IF(Z3="x",(M53*AK54/0.041666667),0)</f>
        <v>0</v>
      </c>
      <c r="X53" s="26" t="s">
        <v>227</v>
      </c>
      <c r="AK53" s="225"/>
      <c r="BB53" s="2"/>
    </row>
    <row r="54" spans="3:54" x14ac:dyDescent="0.2">
      <c r="C54" s="35" t="s">
        <v>270</v>
      </c>
      <c r="J54" s="18" t="s">
        <v>271</v>
      </c>
      <c r="K54" s="21"/>
      <c r="L54" s="21"/>
      <c r="M54" s="224">
        <f>AH55</f>
        <v>0</v>
      </c>
      <c r="N54" s="188" t="s">
        <v>226</v>
      </c>
      <c r="O54" s="21"/>
      <c r="P54" s="21"/>
      <c r="Q54" s="21"/>
      <c r="R54" s="21"/>
      <c r="S54" s="18"/>
      <c r="T54" s="153"/>
      <c r="U54" s="158">
        <f>IF(X3="x",(M54*AK55/0.041666667),0)</f>
        <v>0</v>
      </c>
      <c r="V54" s="26" t="s">
        <v>227</v>
      </c>
      <c r="W54" s="158">
        <f>IF(Z3="x",(M54*AK55/0.041666667),0)</f>
        <v>0</v>
      </c>
      <c r="X54" s="26" t="s">
        <v>227</v>
      </c>
      <c r="AE54" s="285">
        <f>SUM(Y7:Y37)</f>
        <v>0</v>
      </c>
      <c r="AF54" s="196">
        <f>IF(MINUTE(AE54)&gt;=30,AE54+0.041666667,AE54)</f>
        <v>0</v>
      </c>
      <c r="AG54" s="196"/>
      <c r="AH54" s="13">
        <f>IF(MINUTE(AF54)&gt;0,FLOOR(AF54,0.041666667),AF54)</f>
        <v>0</v>
      </c>
      <c r="AI54" s="13"/>
      <c r="AJ54" s="196"/>
      <c r="AK54" s="212">
        <f>AK43/24</f>
        <v>0.5941677044866216</v>
      </c>
      <c r="AL54" s="13" t="s">
        <v>272</v>
      </c>
      <c r="AM54" s="13"/>
      <c r="AN54" s="13"/>
      <c r="AO54" s="13"/>
      <c r="AP54" s="121"/>
      <c r="BB54" s="2"/>
    </row>
    <row r="55" spans="3:54" x14ac:dyDescent="0.2">
      <c r="C55" s="35" t="s">
        <v>261</v>
      </c>
      <c r="G55" s="198">
        <v>0</v>
      </c>
      <c r="J55" s="19" t="s">
        <v>273</v>
      </c>
      <c r="K55" s="20"/>
      <c r="L55" s="20"/>
      <c r="M55" s="318">
        <f>AU38</f>
        <v>0</v>
      </c>
      <c r="N55" s="20" t="s">
        <v>263</v>
      </c>
      <c r="O55" s="20"/>
      <c r="P55" s="20"/>
      <c r="Q55" s="20"/>
      <c r="R55" s="20"/>
      <c r="S55" s="19"/>
      <c r="T55" s="20"/>
      <c r="U55" s="159">
        <f>IF(X3="x",(M55*(2.81*AA40))/100*(100-Z44),0)</f>
        <v>0</v>
      </c>
      <c r="V55" s="27" t="s">
        <v>227</v>
      </c>
      <c r="W55" s="159">
        <f>IF(Z3="x",(M55*(2.81*AA40))/100*(100-Z44),0)</f>
        <v>0</v>
      </c>
      <c r="X55" s="27" t="s">
        <v>227</v>
      </c>
      <c r="AE55" s="286">
        <f>SUM(Z7:Z37)</f>
        <v>0</v>
      </c>
      <c r="AF55" s="197">
        <f>IF(MINUTE(AE55)&gt;=30,AE55+0.041666667,AE55)</f>
        <v>0</v>
      </c>
      <c r="AG55" s="197"/>
      <c r="AH55" s="20">
        <f>IF(MINUTE(AF55)&gt;0,FLOOR(AF55,0.041666667),AF55)</f>
        <v>0</v>
      </c>
      <c r="AI55" s="20"/>
      <c r="AJ55" s="197"/>
      <c r="AK55" s="213">
        <f>AK43/15</f>
        <v>0.95066832717859451</v>
      </c>
      <c r="AL55" s="20" t="s">
        <v>274</v>
      </c>
      <c r="AM55" s="20"/>
      <c r="AN55" s="20"/>
      <c r="AO55" s="20"/>
      <c r="AP55" s="119"/>
      <c r="BB55" s="2"/>
    </row>
    <row r="56" spans="3:54" x14ac:dyDescent="0.2">
      <c r="C56" s="245" t="s">
        <v>265</v>
      </c>
      <c r="E56" s="21"/>
      <c r="F56" s="47"/>
      <c r="G56" s="21"/>
      <c r="L56" s="104" t="s">
        <v>275</v>
      </c>
      <c r="M56" s="107"/>
      <c r="N56" s="19"/>
      <c r="O56" s="105"/>
      <c r="P56" s="99"/>
      <c r="Q56" s="99"/>
      <c r="R56" s="99"/>
      <c r="S56" s="19"/>
      <c r="T56" s="106"/>
      <c r="U56" s="159">
        <f>IF(X3="x",(SUM(U42:U55)),0)</f>
        <v>0</v>
      </c>
      <c r="V56" s="27" t="s">
        <v>227</v>
      </c>
      <c r="W56" s="159">
        <f>IF(Z3="x",(SUM(W42:W55)),0)</f>
        <v>0</v>
      </c>
      <c r="X56" s="27" t="s">
        <v>227</v>
      </c>
      <c r="BB56" s="2"/>
    </row>
    <row r="57" spans="3:54" x14ac:dyDescent="0.2">
      <c r="BB57" s="2"/>
    </row>
    <row r="58" spans="3:54" x14ac:dyDescent="0.2">
      <c r="BB58" s="2"/>
    </row>
    <row r="61" spans="3:54" x14ac:dyDescent="0.2">
      <c r="F61" s="32"/>
      <c r="G61" s="58"/>
      <c r="H61" s="32"/>
      <c r="I61" s="32"/>
      <c r="J61" s="32"/>
      <c r="K61" s="32"/>
      <c r="L61" s="32"/>
      <c r="M61" s="135"/>
      <c r="N61" s="191"/>
      <c r="O61" s="32"/>
      <c r="P61" s="30"/>
      <c r="Q61" s="30"/>
      <c r="R61" s="30"/>
      <c r="S61" s="32"/>
      <c r="T61" s="1"/>
      <c r="U61" s="1"/>
      <c r="V61" s="32"/>
      <c r="W61" s="32"/>
      <c r="X61" s="192"/>
      <c r="Y61" s="30"/>
    </row>
    <row r="62" spans="3:54" x14ac:dyDescent="0.2">
      <c r="F62" s="32"/>
      <c r="G62" s="58"/>
      <c r="H62" s="32"/>
      <c r="I62" s="32"/>
      <c r="J62" s="32"/>
      <c r="K62" s="32"/>
      <c r="L62" s="32"/>
      <c r="M62" s="135"/>
      <c r="N62" s="191"/>
      <c r="O62" s="32"/>
      <c r="P62" s="30"/>
      <c r="Q62" s="30"/>
      <c r="R62" s="30"/>
      <c r="S62" s="32"/>
      <c r="T62" s="1"/>
      <c r="U62" s="1"/>
      <c r="V62" s="32"/>
      <c r="W62" s="32"/>
      <c r="X62" s="193"/>
      <c r="Y62" s="32"/>
    </row>
    <row r="63" spans="3:54" x14ac:dyDescent="0.2">
      <c r="F63" s="28"/>
      <c r="U63" s="2"/>
    </row>
  </sheetData>
  <sheetProtection algorithmName="SHA-512" hashValue="DvTYSYQ94Qgh3HJtPe6AQDmtwmHlImHQQ/uM7pQOtS9GlZu2NVscqL6hEZ9FJV8Eo0eSBdNTkY7cUJV+t8aZCg==" saltValue="1rdXNvxsAvnImN9Gj/JxMQ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horizontalDpi="300" verticalDpi="300" r:id="rId1"/>
  <headerFooter alignWithMargins="0"/>
  <ignoredErrors>
    <ignoredError sqref="Q7:T37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Échelle</vt:lpstr>
      <vt:lpstr>Données</vt:lpstr>
      <vt:lpstr>Jan</vt:lpstr>
      <vt:lpstr>Fév</vt:lpstr>
      <vt:lpstr>Mar</vt:lpstr>
      <vt:lpstr>Avr</vt:lpstr>
      <vt:lpstr>Mai</vt:lpstr>
      <vt:lpstr>Juin</vt:lpstr>
      <vt:lpstr>Juil</vt:lpstr>
      <vt:lpstr>Août</vt:lpstr>
      <vt:lpstr>Sep</vt:lpstr>
      <vt:lpstr>Oct</vt:lpstr>
      <vt:lpstr>Nov</vt:lpstr>
      <vt:lpstr>Déc</vt:lpstr>
      <vt:lpstr>Ex-Gd</vt:lpstr>
    </vt:vector>
  </TitlesOfParts>
  <Company>SLFP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Memento 2021</dc:title>
  <dc:subject>Version 1</dc:subject>
  <dc:creator>::: VSOA POLITIE - SLFP POLICE :::</dc:creator>
  <cp:keywords/>
  <dc:description>Memento 2018</dc:description>
  <cp:lastModifiedBy>Michel Aerts | TIBIT BV</cp:lastModifiedBy>
  <cp:lastPrinted>2019-10-23T08:59:29Z</cp:lastPrinted>
  <dcterms:created xsi:type="dcterms:W3CDTF">1999-12-08T08:44:38Z</dcterms:created>
  <dcterms:modified xsi:type="dcterms:W3CDTF">2021-11-05T11:40:59Z</dcterms:modified>
  <cp:contentStatus/>
</cp:coreProperties>
</file>